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165" windowWidth="15210" windowHeight="7140" activeTab="0"/>
  </bookViews>
  <sheets>
    <sheet name="stan" sheetId="1" r:id="rId1"/>
  </sheets>
  <definedNames>
    <definedName name="_xlnm.Print_Area" localSheetId="0">'stan'!$A$1:$G$444</definedName>
  </definedNames>
  <calcPr fullCalcOnLoad="1"/>
</workbook>
</file>

<file path=xl/sharedStrings.xml><?xml version="1.0" encoding="utf-8"?>
<sst xmlns="http://schemas.openxmlformats.org/spreadsheetml/2006/main" count="83" uniqueCount="65">
  <si>
    <t>FINANCIRANJE:</t>
  </si>
  <si>
    <t xml:space="preserve"> →  1 obrok - učešće</t>
  </si>
  <si>
    <t>IZRAČUN OTPLATE KREDITA POSLOVNOJ BANCI:</t>
  </si>
  <si>
    <t>Kredit poslovne banke:</t>
  </si>
  <si>
    <t>Gotovinski udio:</t>
  </si>
  <si>
    <t>Iznos za ukamaćivanje:</t>
  </si>
  <si>
    <t>Kamata za vrijeme otplate:</t>
  </si>
  <si>
    <t>Glavnica:</t>
  </si>
  <si>
    <t>Poček:</t>
  </si>
  <si>
    <t>Broj mjeseci otplate:</t>
  </si>
  <si>
    <t>Ukupno:</t>
  </si>
  <si>
    <t>Ukupno glavnica + kamata:</t>
  </si>
  <si>
    <t>Glavnica za obračun:</t>
  </si>
  <si>
    <t>Kamata za vrijeme počeka:</t>
  </si>
  <si>
    <t>Broj mjeseci počeka:</t>
  </si>
  <si>
    <t>Cijena stana:</t>
  </si>
  <si>
    <t>Iznos svih kamata koje plaća kupac:</t>
  </si>
  <si>
    <t>Ukupna cijena stana po otplati svih kredita:</t>
  </si>
  <si>
    <t>Broj godina trajanja otplate:</t>
  </si>
  <si>
    <t>Broj mjeseci trajanja otplate:</t>
  </si>
  <si>
    <t>Poček u godinama:</t>
  </si>
  <si>
    <t>Broj godina otplate:</t>
  </si>
  <si>
    <t>Ukupno glavnica+kamata:</t>
  </si>
  <si>
    <t>Cijena:</t>
  </si>
  <si>
    <t>UČEŠĆE:</t>
  </si>
  <si>
    <t>Cijena 1m² stana:</t>
  </si>
  <si>
    <t>poček</t>
  </si>
  <si>
    <t>kamata</t>
  </si>
  <si>
    <t>€</t>
  </si>
  <si>
    <t>CHF</t>
  </si>
  <si>
    <t>odabrana banka:</t>
  </si>
  <si>
    <t>valuta:</t>
  </si>
  <si>
    <t>Iznos interkalarne kamate (vezano za €):</t>
  </si>
  <si>
    <t>Iznos interkalarne kamate (vezano za CHF):</t>
  </si>
  <si>
    <t>Interkalarna kamata (vezano za €):</t>
  </si>
  <si>
    <t>Interkalarna kamata (vezano za CHF):</t>
  </si>
  <si>
    <t>Kamata za vrijeme otplate (vezano za €):</t>
  </si>
  <si>
    <t>Kamata za vrijeme otplate (vezano za CHF):</t>
  </si>
  <si>
    <t>PROSJEČNA KAMATA:</t>
  </si>
  <si>
    <t>IZRAČUN STVARNE PROSJEČNE KAMATE :</t>
  </si>
  <si>
    <t>BANKA</t>
  </si>
  <si>
    <t>Kredit Banke i APN-a:</t>
  </si>
  <si>
    <t>Iznos kamate na poček:</t>
  </si>
  <si>
    <t>Ukupno povećanje:</t>
  </si>
  <si>
    <t>Kamata na poček:</t>
  </si>
  <si>
    <t>Površina stana :</t>
  </si>
  <si>
    <t xml:space="preserve"> →  2 obrok - banka</t>
  </si>
  <si>
    <t xml:space="preserve"> →  3 obrok - APN</t>
  </si>
  <si>
    <t>IZRAČUN OTPLATE KREDITA APN-a:</t>
  </si>
  <si>
    <t>Prosječna kamata za vrijeme otplate (banka i APN):</t>
  </si>
  <si>
    <t>IZRAČUN OTPLATE KREDITA BANCI I APN-u:</t>
  </si>
  <si>
    <t>Ukupan izos kredita (banka + APN):</t>
  </si>
  <si>
    <t>Mjesečni anuitet (glavnica):</t>
  </si>
  <si>
    <t>Kta:</t>
  </si>
  <si>
    <t>Upiši iznos učešća:</t>
  </si>
  <si>
    <t>Ukupno povećanje glavnice kredita:</t>
  </si>
  <si>
    <t>Prosječna rata u iznosu od 0,25% vrijednosti stana</t>
  </si>
  <si>
    <t>Prosječna rata ne smije biti manja od 0,25% vrijednosti stana:</t>
  </si>
  <si>
    <t>Iznos učešća:</t>
  </si>
  <si>
    <t>Postotak učešća:</t>
  </si>
  <si>
    <t>Ova kalkulacija je informativna i nije obvezujuća za Agenciju za pravni promet i posredovanje nekretninma</t>
  </si>
  <si>
    <r>
      <rPr>
        <b/>
        <sz val="10"/>
        <color indexed="8"/>
        <rFont val="Arial"/>
        <family val="2"/>
      </rPr>
      <t>A MODEL</t>
    </r>
    <r>
      <rPr>
        <sz val="10"/>
        <color indexed="8"/>
        <rFont val="Arial"/>
        <family val="2"/>
      </rPr>
      <t xml:space="preserve"> (iznos učešća u €)</t>
    </r>
  </si>
  <si>
    <r>
      <rPr>
        <b/>
        <sz val="10"/>
        <color indexed="8"/>
        <rFont val="Arial"/>
        <family val="2"/>
      </rPr>
      <t>B MODE</t>
    </r>
    <r>
      <rPr>
        <sz val="10"/>
        <color indexed="8"/>
        <rFont val="Arial"/>
        <family val="2"/>
      </rPr>
      <t>L (bez banke)</t>
    </r>
  </si>
  <si>
    <t>Ukupno (glavnica + kamate):</t>
  </si>
  <si>
    <t>PROJEKCIJA OTPLATE STANA - POS</t>
  </si>
</sst>
</file>

<file path=xl/styles.xml><?xml version="1.0" encoding="utf-8"?>
<styleSheet xmlns="http://schemas.openxmlformats.org/spreadsheetml/2006/main">
  <numFmts count="6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0.00\ &quot;m2&quot;"/>
    <numFmt numFmtId="167" formatCode="#,##0.00\ &quot;kn&quot;"/>
    <numFmt numFmtId="168" formatCode="#,##0.00\ [$€-1]"/>
    <numFmt numFmtId="169" formatCode="#,##0.00\ [$€-1]&quot;/m2&quot;"/>
    <numFmt numFmtId="170" formatCode="#,##0.000000"/>
    <numFmt numFmtId="171" formatCode="#,##0.00\ [$DM-407]"/>
    <numFmt numFmtId="172" formatCode="_-* #,##0.00\ [$€-407]_-;\-* #,##0.00\ [$€-407]_-;_-* &quot;-&quot;??\ [$€-407]_-;_-@_-"/>
    <numFmt numFmtId="173" formatCode="0\ &quot;godina&quot;"/>
    <numFmt numFmtId="174" formatCode="#,##0;[Red]#,##0"/>
    <numFmt numFmtId="175" formatCode="&quot;Mjesečna rata na &quot;\ 0\ &quot;mjeseci:&quot;"/>
    <numFmt numFmtId="176" formatCode="0\ &quot;%&quot;"/>
    <numFmt numFmtId="177" formatCode="&quot;PROSJEČNA RATA NA&quot;\ 0\ &quot;MJESECI :&quot;"/>
    <numFmt numFmtId="178" formatCode="[$€-2]\ #,##0.00"/>
    <numFmt numFmtId="179" formatCode="0.000%"/>
    <numFmt numFmtId="180" formatCode="0\ &quot;člana&quot;"/>
    <numFmt numFmtId="181" formatCode="#,##0.00\ [$€-1];[Red]#,##0.00\ [$€-1]"/>
    <numFmt numFmtId="182" formatCode="#,##0.00;[Red]#,##0.00"/>
    <numFmt numFmtId="183" formatCode="0.00;[Red]0.00"/>
    <numFmt numFmtId="184" formatCode="0.00000;[Red]0.00000"/>
    <numFmt numFmtId="185" formatCode="#.##\ &quot;%&quot;"/>
    <numFmt numFmtId="186" formatCode="&quot;Mjesečna rata na &quot;0&quot; mjeseci:&quot;"/>
    <numFmt numFmtId="187" formatCode="0;[Red]0"/>
    <numFmt numFmtId="188" formatCode="#.##00\ &quot;%&quot;"/>
    <numFmt numFmtId="189" formatCode="#.00\ &quot;%&quot;"/>
    <numFmt numFmtId="190" formatCode="0.00\ &quot;m²&quot;"/>
    <numFmt numFmtId="191" formatCode="&quot;BROJ ČLANOVA OBITELJI: &quot;\ 0"/>
    <numFmt numFmtId="192" formatCode="&quot;BROJ ČLANOVA OBITELJI: &quot;\ \ 0"/>
    <numFmt numFmtId="193" formatCode="&quot;PROSJEČNA RATA NA&quot;\ \F\4\4\ &quot;MJESECI :&quot;"/>
    <numFmt numFmtId="194" formatCode="&quot;PROSJEČNA RATA NA&quot;\ \&amp;\ \F\4\4\ \&amp;\ &quot;MJESECI :&quot;"/>
    <numFmt numFmtId="195" formatCode="\=&quot;PROSJEČNA RATA NA&quot;\ \&amp;\ \F\4\4\ \&amp;\ &quot;MJESECI :&quot;"/>
    <numFmt numFmtId="196" formatCode="\=\ &quot;PROSJEČNA RATA NA&quot;\ \&amp;\ \$\F\$\4\4\ \&amp;\ &quot;MJESECI :&quot;"/>
    <numFmt numFmtId="197" formatCode="&quot;PROSJEČNA RATA NA&quot;\ 0\ &quot;MJESECI:&quot;"/>
    <numFmt numFmtId="198" formatCode="&quot;PROSJEČNA RATA NA&quot;\ 0\ &quot;MJESECI:&quot;\ \&amp;\ \F\2\4\+\F\3\4/2"/>
    <numFmt numFmtId="199" formatCode="\=\ &quot;PROSJEČNA RATA NA&quot;\ 0\ &quot;MJESECI:&quot;\ \&amp;\ \ \F\2\4\+\F\3\4/2"/>
    <numFmt numFmtId="200" formatCode="\=\ &quot;PROSJEČNA RATA NA&quot;\ \&amp;\ 0\ \ \&amp;\ &quot;MJESECI:&quot;\ \&amp;\ \ \F\2\4\+\F\3\4/2"/>
    <numFmt numFmtId="201" formatCode="\=\ &quot;PROSJEČNA RATA NA&quot;\ \&amp;\ \+\F\40\ \ \&amp;\ &quot;MJESECI:&quot;\ \&amp;\ \ \F\2\4\+\F\3\4/2"/>
    <numFmt numFmtId="202" formatCode="&quot;PROSJEČNA RATA NA&quot;\ \&amp;\ 0\ \ \&amp;\ &quot;MJESECI:&quot;\ \&amp;\ \ \F\2\4\+\F\3\4/2"/>
    <numFmt numFmtId="203" formatCode="&quot;PROSJEČNA RATA NA&quot;\ \&amp;\ 0\ \&amp;\ &quot;MJESECI:&quot;\ \&amp;\ \ \F\2\4\+\F\3\4/2"/>
    <numFmt numFmtId="204" formatCode="&quot;PROSJEČNA RATA NA&quot;\ 0\ &quot;MJESECI:&quot;\ \&amp;\ \ \F\2\4\+\F\3\4/2"/>
    <numFmt numFmtId="205" formatCode="&quot;PROSJEČNA RATA NA&quot;\ 0\ &quot;MJESECI:&quot;\ \&amp;\ \F\4\4\+\F\2\4/2"/>
    <numFmt numFmtId="206" formatCode="&quot;Jedinica lokalne samouprave: &quot;\ 0\ &quot; €/m²&quot;"/>
    <numFmt numFmtId="207" formatCode="&quot;Jedinica lokalne samouprave:&quot;\ 0\ &quot; €/m²&quot;"/>
    <numFmt numFmtId="208" formatCode="&quot;Jedinica lokalne samouprave:&quot;\ #.##\ &quot; €/m²&quot;"/>
    <numFmt numFmtId="209" formatCode="&quot;Jedinica lokalne samouprave:&quot;\ #.00\ &quot; €/m²&quot;"/>
    <numFmt numFmtId="210" formatCode="&quot;Jedinica lokalne samouprave:&quot;\ #.00\ &quot;€/m²&quot;"/>
    <numFmt numFmtId="211" formatCode="&quot;Država:&quot;\ #.00\ &quot;€/m²&quot;"/>
    <numFmt numFmtId="212" formatCode="&quot;Jedinica lokalne samouprave:  &quot;\ #.00\ &quot;€/m²&quot;"/>
    <numFmt numFmtId="213" formatCode="&quot;Država:  &quot;\ #.00\ &quot;€/m²&quot;"/>
    <numFmt numFmtId="214" formatCode="[Red]&quot;BROJ ČLANOVA OBITELJI: &quot;\ 0"/>
    <numFmt numFmtId="215" formatCode="[Red]&quot;BROJ ČLANOVA OBITELJI: &quot;\ \7\ &quot;i više&quot;"/>
    <numFmt numFmtId="216" formatCode="[$€-1809]#,##0.00;\-[$€-1809]#,##0.00"/>
    <numFmt numFmtId="217" formatCode="#,##0.00\ [$€-1];\-#,##0.00\ [$€-1]"/>
    <numFmt numFmtId="218" formatCode="&quot;Jedinica lokalne samouprave (SVEUKUPNO):  &quot;\ #.00\ &quot;€/m²&quot;"/>
    <numFmt numFmtId="219" formatCode="&quot;Jedinica lokalne samouprave (3 OBROK):  &quot;\ #.00\ &quot;€/m²&quot;"/>
    <numFmt numFmtId="220" formatCode="0.000"/>
    <numFmt numFmtId="221" formatCode="#,##0.0000"/>
    <numFmt numFmtId="222" formatCode="[$-41A]d\.\ mmmm\ yyyy\."/>
    <numFmt numFmtId="223" formatCode="0.000000%"/>
  </numFmts>
  <fonts count="78">
    <font>
      <sz val="10"/>
      <name val="Arial"/>
      <family val="0"/>
    </font>
    <font>
      <sz val="10"/>
      <name val="Times New Roman"/>
      <family val="1"/>
    </font>
    <font>
      <b/>
      <sz val="8"/>
      <color indexed="18"/>
      <name val="Times New Roman"/>
      <family val="1"/>
    </font>
    <font>
      <b/>
      <sz val="8"/>
      <color indexed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i/>
      <sz val="16"/>
      <color indexed="10"/>
      <name val="Arial"/>
      <family val="2"/>
    </font>
    <font>
      <b/>
      <sz val="16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b/>
      <sz val="15"/>
      <color indexed="10"/>
      <name val="Arial"/>
      <family val="2"/>
    </font>
    <font>
      <sz val="15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sz val="16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1"/>
      <color indexed="10"/>
      <name val="Arial"/>
      <family val="2"/>
    </font>
    <font>
      <i/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60029125213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8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8"/>
      </top>
      <bottom style="thin">
        <color indexed="26"/>
      </bottom>
    </border>
    <border>
      <left style="thin"/>
      <right style="thin"/>
      <top style="thin"/>
      <bottom style="thin"/>
    </border>
    <border>
      <left style="thin">
        <color indexed="26"/>
      </left>
      <right style="thin">
        <color indexed="26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26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8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8"/>
      </bottom>
    </border>
    <border>
      <left style="thin"/>
      <right>
        <color indexed="63"/>
      </right>
      <top style="thin">
        <color indexed="2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8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8"/>
      </top>
      <bottom style="thin">
        <color indexed="26"/>
      </bottom>
    </border>
    <border>
      <left style="thin">
        <color indexed="8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indexed="8"/>
      </left>
      <right style="thin">
        <color indexed="26"/>
      </right>
      <top style="dotted">
        <color indexed="8"/>
      </top>
      <bottom style="dotted">
        <color indexed="8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6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8" fillId="33" borderId="10" xfId="0" applyFont="1" applyFill="1" applyBorder="1" applyAlignment="1">
      <alignment vertical="center"/>
    </xf>
    <xf numFmtId="171" fontId="8" fillId="33" borderId="10" xfId="0" applyNumberFormat="1" applyFont="1" applyFill="1" applyBorder="1" applyAlignment="1">
      <alignment vertical="center"/>
    </xf>
    <xf numFmtId="167" fontId="8" fillId="33" borderId="10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182" fontId="8" fillId="33" borderId="10" xfId="0" applyNumberFormat="1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172" fontId="7" fillId="34" borderId="10" xfId="59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183" fontId="1" fillId="34" borderId="10" xfId="0" applyNumberFormat="1" applyFont="1" applyFill="1" applyBorder="1" applyAlignment="1">
      <alignment/>
    </xf>
    <xf numFmtId="174" fontId="3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vertical="center"/>
    </xf>
    <xf numFmtId="0" fontId="12" fillId="33" borderId="14" xfId="0" applyFont="1" applyFill="1" applyBorder="1" applyAlignment="1">
      <alignment horizontal="right" vertical="center" wrapText="1"/>
    </xf>
    <xf numFmtId="0" fontId="12" fillId="33" borderId="15" xfId="0" applyFont="1" applyFill="1" applyBorder="1" applyAlignment="1">
      <alignment horizontal="right" vertical="center" wrapText="1"/>
    </xf>
    <xf numFmtId="0" fontId="12" fillId="33" borderId="13" xfId="0" applyFont="1" applyFill="1" applyBorder="1" applyAlignment="1">
      <alignment horizontal="right" vertical="center" wrapText="1"/>
    </xf>
    <xf numFmtId="0" fontId="13" fillId="33" borderId="16" xfId="0" applyFont="1" applyFill="1" applyBorder="1" applyAlignment="1">
      <alignment horizontal="center" vertical="center" wrapText="1"/>
    </xf>
    <xf numFmtId="168" fontId="2" fillId="34" borderId="10" xfId="0" applyNumberFormat="1" applyFont="1" applyFill="1" applyBorder="1" applyAlignment="1">
      <alignment horizontal="center" vertical="center" wrapText="1"/>
    </xf>
    <xf numFmtId="0" fontId="13" fillId="33" borderId="17" xfId="0" applyFont="1" applyFill="1" applyBorder="1" applyAlignment="1" applyProtection="1">
      <alignment horizontal="center" vertical="center" wrapText="1"/>
      <protection locked="0"/>
    </xf>
    <xf numFmtId="189" fontId="11" fillId="33" borderId="14" xfId="59" applyNumberFormat="1" applyFont="1" applyFill="1" applyBorder="1" applyAlignment="1" applyProtection="1">
      <alignment horizontal="center" vertical="center" wrapText="1"/>
      <protection/>
    </xf>
    <xf numFmtId="10" fontId="11" fillId="33" borderId="11" xfId="59" applyNumberFormat="1" applyFont="1" applyFill="1" applyBorder="1" applyAlignment="1" applyProtection="1">
      <alignment horizontal="center" vertical="center" wrapText="1"/>
      <protection/>
    </xf>
    <xf numFmtId="189" fontId="11" fillId="33" borderId="12" xfId="59" applyNumberFormat="1" applyFont="1" applyFill="1" applyBorder="1" applyAlignment="1" applyProtection="1">
      <alignment horizontal="center" vertical="center" wrapText="1"/>
      <protection/>
    </xf>
    <xf numFmtId="10" fontId="11" fillId="33" borderId="10" xfId="59" applyNumberFormat="1" applyFont="1" applyFill="1" applyBorder="1" applyAlignment="1" applyProtection="1">
      <alignment horizontal="center" vertical="center" wrapText="1"/>
      <protection/>
    </xf>
    <xf numFmtId="171" fontId="8" fillId="33" borderId="18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2" fontId="14" fillId="33" borderId="12" xfId="0" applyNumberFormat="1" applyFont="1" applyFill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vertical="center"/>
    </xf>
    <xf numFmtId="2" fontId="14" fillId="33" borderId="19" xfId="0" applyNumberFormat="1" applyFont="1" applyFill="1" applyBorder="1" applyAlignment="1">
      <alignment vertical="center"/>
    </xf>
    <xf numFmtId="2" fontId="14" fillId="33" borderId="0" xfId="0" applyNumberFormat="1" applyFont="1" applyFill="1" applyBorder="1" applyAlignment="1">
      <alignment vertical="center"/>
    </xf>
    <xf numFmtId="214" fontId="15" fillId="33" borderId="10" xfId="0" applyNumberFormat="1" applyFont="1" applyFill="1" applyBorder="1" applyAlignment="1" applyProtection="1">
      <alignment horizontal="left" wrapText="1"/>
      <protection locked="0"/>
    </xf>
    <xf numFmtId="0" fontId="16" fillId="33" borderId="10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right" vertical="center" wrapText="1"/>
    </xf>
    <xf numFmtId="0" fontId="19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right" vertical="center" wrapText="1"/>
    </xf>
    <xf numFmtId="0" fontId="20" fillId="33" borderId="12" xfId="0" applyFont="1" applyFill="1" applyBorder="1" applyAlignment="1">
      <alignment horizontal="right" vertical="center" wrapText="1"/>
    </xf>
    <xf numFmtId="0" fontId="10" fillId="33" borderId="20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21" fillId="33" borderId="21" xfId="0" applyFont="1" applyFill="1" applyBorder="1" applyAlignment="1">
      <alignment horizontal="left" wrapText="1"/>
    </xf>
    <xf numFmtId="10" fontId="22" fillId="35" borderId="22" xfId="59" applyNumberFormat="1" applyFont="1" applyFill="1" applyBorder="1" applyAlignment="1" applyProtection="1">
      <alignment horizontal="right" vertical="center" wrapText="1"/>
      <protection locked="0"/>
    </xf>
    <xf numFmtId="168" fontId="14" fillId="35" borderId="22" xfId="0" applyNumberFormat="1" applyFont="1" applyFill="1" applyBorder="1" applyAlignment="1">
      <alignment horizontal="right" vertical="center" wrapText="1"/>
    </xf>
    <xf numFmtId="14" fontId="10" fillId="33" borderId="10" xfId="0" applyNumberFormat="1" applyFont="1" applyFill="1" applyBorder="1" applyAlignment="1" applyProtection="1">
      <alignment vertical="center"/>
      <protection locked="0"/>
    </xf>
    <xf numFmtId="10" fontId="16" fillId="36" borderId="17" xfId="59" applyNumberFormat="1" applyFont="1" applyFill="1" applyBorder="1" applyAlignment="1">
      <alignment horizontal="right" vertical="center" wrapText="1"/>
    </xf>
    <xf numFmtId="168" fontId="10" fillId="36" borderId="17" xfId="0" applyNumberFormat="1" applyFont="1" applyFill="1" applyBorder="1" applyAlignment="1">
      <alignment horizontal="right" vertical="center" wrapText="1"/>
    </xf>
    <xf numFmtId="1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10" fontId="16" fillId="37" borderId="17" xfId="59" applyNumberFormat="1" applyFont="1" applyFill="1" applyBorder="1" applyAlignment="1">
      <alignment horizontal="right" vertical="center" wrapText="1"/>
    </xf>
    <xf numFmtId="168" fontId="10" fillId="37" borderId="17" xfId="0" applyNumberFormat="1" applyFont="1" applyFill="1" applyBorder="1" applyAlignment="1">
      <alignment horizontal="right" vertical="center" wrapText="1"/>
    </xf>
    <xf numFmtId="10" fontId="16" fillId="33" borderId="11" xfId="59" applyNumberFormat="1" applyFont="1" applyFill="1" applyBorder="1" applyAlignment="1">
      <alignment horizontal="right" vertical="center" wrapText="1"/>
    </xf>
    <xf numFmtId="168" fontId="10" fillId="33" borderId="11" xfId="0" applyNumberFormat="1" applyFont="1" applyFill="1" applyBorder="1" applyAlignment="1">
      <alignment horizontal="right" vertical="center" wrapText="1"/>
    </xf>
    <xf numFmtId="170" fontId="10" fillId="33" borderId="10" xfId="0" applyNumberFormat="1" applyFont="1" applyFill="1" applyBorder="1" applyAlignment="1">
      <alignment horizontal="right" vertical="center" wrapText="1"/>
    </xf>
    <xf numFmtId="183" fontId="16" fillId="33" borderId="12" xfId="0" applyNumberFormat="1" applyFont="1" applyFill="1" applyBorder="1" applyAlignment="1">
      <alignment horizontal="right" vertical="center" wrapText="1"/>
    </xf>
    <xf numFmtId="168" fontId="14" fillId="35" borderId="17" xfId="0" applyNumberFormat="1" applyFont="1" applyFill="1" applyBorder="1" applyAlignment="1">
      <alignment horizontal="right" vertical="center" wrapText="1"/>
    </xf>
    <xf numFmtId="0" fontId="10" fillId="33" borderId="18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left" wrapText="1"/>
    </xf>
    <xf numFmtId="0" fontId="21" fillId="33" borderId="0" xfId="0" applyFont="1" applyFill="1" applyBorder="1" applyAlignment="1">
      <alignment horizontal="left" wrapText="1"/>
    </xf>
    <xf numFmtId="0" fontId="21" fillId="33" borderId="23" xfId="0" applyFont="1" applyFill="1" applyBorder="1" applyAlignment="1">
      <alignment horizontal="left" wrapText="1"/>
    </xf>
    <xf numFmtId="0" fontId="25" fillId="33" borderId="17" xfId="0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Border="1" applyAlignment="1">
      <alignment wrapText="1"/>
    </xf>
    <xf numFmtId="0" fontId="21" fillId="33" borderId="23" xfId="0" applyFont="1" applyFill="1" applyBorder="1" applyAlignment="1">
      <alignment wrapText="1"/>
    </xf>
    <xf numFmtId="0" fontId="21" fillId="33" borderId="13" xfId="0" applyFont="1" applyFill="1" applyBorder="1" applyAlignment="1">
      <alignment wrapText="1"/>
    </xf>
    <xf numFmtId="0" fontId="16" fillId="33" borderId="24" xfId="0" applyFont="1" applyFill="1" applyBorder="1" applyAlignment="1">
      <alignment horizontal="right" vertical="center" wrapText="1"/>
    </xf>
    <xf numFmtId="172" fontId="14" fillId="36" borderId="17" xfId="0" applyNumberFormat="1" applyFont="1" applyFill="1" applyBorder="1" applyAlignment="1">
      <alignment horizontal="right" vertical="center" wrapText="1"/>
    </xf>
    <xf numFmtId="172" fontId="26" fillId="33" borderId="25" xfId="0" applyNumberFormat="1" applyFont="1" applyFill="1" applyBorder="1" applyAlignment="1">
      <alignment horizontal="right" vertical="center" wrapText="1"/>
    </xf>
    <xf numFmtId="171" fontId="10" fillId="33" borderId="25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vertical="center"/>
    </xf>
    <xf numFmtId="171" fontId="10" fillId="33" borderId="11" xfId="0" applyNumberFormat="1" applyFont="1" applyFill="1" applyBorder="1" applyAlignment="1">
      <alignment horizontal="right" vertical="center" wrapText="1"/>
    </xf>
    <xf numFmtId="0" fontId="16" fillId="33" borderId="12" xfId="0" applyFont="1" applyFill="1" applyBorder="1" applyAlignment="1">
      <alignment horizontal="right" vertical="center" wrapText="1"/>
    </xf>
    <xf numFmtId="172" fontId="10" fillId="33" borderId="10" xfId="0" applyNumberFormat="1" applyFont="1" applyFill="1" applyBorder="1" applyAlignment="1">
      <alignment horizontal="right" vertical="center" wrapText="1"/>
    </xf>
    <xf numFmtId="172" fontId="10" fillId="33" borderId="13" xfId="0" applyNumberFormat="1" applyFont="1" applyFill="1" applyBorder="1" applyAlignment="1">
      <alignment horizontal="right" vertical="center" wrapText="1"/>
    </xf>
    <xf numFmtId="171" fontId="10" fillId="33" borderId="10" xfId="0" applyNumberFormat="1" applyFont="1" applyFill="1" applyBorder="1" applyAlignment="1">
      <alignment horizontal="right" vertical="center" wrapText="1"/>
    </xf>
    <xf numFmtId="189" fontId="27" fillId="36" borderId="17" xfId="59" applyNumberFormat="1" applyFont="1" applyFill="1" applyBorder="1" applyAlignment="1" applyProtection="1">
      <alignment horizontal="center" vertical="center" wrapText="1"/>
      <protection/>
    </xf>
    <xf numFmtId="10" fontId="27" fillId="36" borderId="17" xfId="59" applyNumberFormat="1" applyFont="1" applyFill="1" applyBorder="1" applyAlignment="1" applyProtection="1">
      <alignment horizontal="center" vertical="center" wrapText="1"/>
      <protection/>
    </xf>
    <xf numFmtId="171" fontId="10" fillId="33" borderId="18" xfId="0" applyNumberFormat="1" applyFont="1" applyFill="1" applyBorder="1" applyAlignment="1">
      <alignment horizontal="right" vertical="center" wrapText="1"/>
    </xf>
    <xf numFmtId="189" fontId="27" fillId="33" borderId="17" xfId="59" applyNumberFormat="1" applyFont="1" applyFill="1" applyBorder="1" applyAlignment="1" applyProtection="1">
      <alignment horizontal="center" vertical="center" wrapText="1"/>
      <protection/>
    </xf>
    <xf numFmtId="10" fontId="27" fillId="33" borderId="17" xfId="59" applyNumberFormat="1" applyFont="1" applyFill="1" applyBorder="1" applyAlignment="1" applyProtection="1">
      <alignment horizontal="center" vertical="center" wrapText="1"/>
      <protection/>
    </xf>
    <xf numFmtId="172" fontId="26" fillId="33" borderId="16" xfId="0" applyNumberFormat="1" applyFont="1" applyFill="1" applyBorder="1" applyAlignment="1">
      <alignment horizontal="right" vertical="center" wrapText="1"/>
    </xf>
    <xf numFmtId="172" fontId="16" fillId="33" borderId="10" xfId="0" applyNumberFormat="1" applyFont="1" applyFill="1" applyBorder="1" applyAlignment="1">
      <alignment horizontal="right" vertical="center" wrapText="1"/>
    </xf>
    <xf numFmtId="167" fontId="16" fillId="33" borderId="10" xfId="0" applyNumberFormat="1" applyFont="1" applyFill="1" applyBorder="1" applyAlignment="1">
      <alignment horizontal="right" vertical="center" wrapText="1"/>
    </xf>
    <xf numFmtId="172" fontId="10" fillId="33" borderId="16" xfId="0" applyNumberFormat="1" applyFont="1" applyFill="1" applyBorder="1" applyAlignment="1">
      <alignment horizontal="right" vertical="center" wrapText="1"/>
    </xf>
    <xf numFmtId="173" fontId="28" fillId="36" borderId="17" xfId="0" applyNumberFormat="1" applyFont="1" applyFill="1" applyBorder="1" applyAlignment="1" applyProtection="1">
      <alignment horizontal="center" vertical="center" wrapText="1"/>
      <protection locked="0"/>
    </xf>
    <xf numFmtId="174" fontId="14" fillId="36" borderId="17" xfId="0" applyNumberFormat="1" applyFont="1" applyFill="1" applyBorder="1" applyAlignment="1">
      <alignment horizontal="center" vertical="center" wrapText="1"/>
    </xf>
    <xf numFmtId="174" fontId="29" fillId="33" borderId="18" xfId="0" applyNumberFormat="1" applyFont="1" applyFill="1" applyBorder="1" applyAlignment="1">
      <alignment horizontal="right" vertical="center" wrapText="1"/>
    </xf>
    <xf numFmtId="172" fontId="26" fillId="33" borderId="11" xfId="0" applyNumberFormat="1" applyFont="1" applyFill="1" applyBorder="1" applyAlignment="1">
      <alignment horizontal="right" vertical="center" wrapText="1"/>
    </xf>
    <xf numFmtId="0" fontId="16" fillId="33" borderId="20" xfId="0" applyFont="1" applyFill="1" applyBorder="1" applyAlignment="1">
      <alignment horizontal="right" vertical="center" wrapText="1"/>
    </xf>
    <xf numFmtId="172" fontId="30" fillId="36" borderId="17" xfId="0" applyNumberFormat="1" applyFont="1" applyFill="1" applyBorder="1" applyAlignment="1">
      <alignment horizontal="center" vertical="center" wrapText="1"/>
    </xf>
    <xf numFmtId="168" fontId="31" fillId="33" borderId="10" xfId="0" applyNumberFormat="1" applyFont="1" applyFill="1" applyBorder="1" applyAlignment="1">
      <alignment horizontal="left" vertical="center" wrapText="1"/>
    </xf>
    <xf numFmtId="172" fontId="26" fillId="33" borderId="10" xfId="0" applyNumberFormat="1" applyFont="1" applyFill="1" applyBorder="1" applyAlignment="1">
      <alignment horizontal="right" vertical="center" wrapText="1"/>
    </xf>
    <xf numFmtId="172" fontId="10" fillId="33" borderId="11" xfId="0" applyNumberFormat="1" applyFont="1" applyFill="1" applyBorder="1" applyAlignment="1">
      <alignment horizontal="right" vertical="center" wrapText="1"/>
    </xf>
    <xf numFmtId="171" fontId="31" fillId="33" borderId="10" xfId="0" applyNumberFormat="1" applyFont="1" applyFill="1" applyBorder="1" applyAlignment="1">
      <alignment horizontal="right" vertical="center" wrapText="1"/>
    </xf>
    <xf numFmtId="172" fontId="10" fillId="33" borderId="10" xfId="0" applyNumberFormat="1" applyFont="1" applyFill="1" applyBorder="1" applyAlignment="1">
      <alignment vertical="center"/>
    </xf>
    <xf numFmtId="0" fontId="16" fillId="33" borderId="14" xfId="0" applyFont="1" applyFill="1" applyBorder="1" applyAlignment="1">
      <alignment horizontal="right" vertical="center" wrapText="1"/>
    </xf>
    <xf numFmtId="172" fontId="14" fillId="37" borderId="22" xfId="0" applyNumberFormat="1" applyFont="1" applyFill="1" applyBorder="1" applyAlignment="1">
      <alignment horizontal="center" vertical="center" wrapText="1"/>
    </xf>
    <xf numFmtId="171" fontId="31" fillId="33" borderId="11" xfId="0" applyNumberFormat="1" applyFont="1" applyFill="1" applyBorder="1" applyAlignment="1">
      <alignment horizontal="right" vertical="center" wrapText="1"/>
    </xf>
    <xf numFmtId="0" fontId="31" fillId="33" borderId="10" xfId="0" applyFont="1" applyFill="1" applyBorder="1" applyAlignment="1">
      <alignment horizontal="right" vertical="center" wrapText="1"/>
    </xf>
    <xf numFmtId="172" fontId="31" fillId="33" borderId="10" xfId="0" applyNumberFormat="1" applyFont="1" applyFill="1" applyBorder="1" applyAlignment="1">
      <alignment horizontal="right" vertical="center" wrapText="1"/>
    </xf>
    <xf numFmtId="176" fontId="27" fillId="37" borderId="17" xfId="59" applyNumberFormat="1" applyFont="1" applyFill="1" applyBorder="1" applyAlignment="1" applyProtection="1">
      <alignment horizontal="center" vertical="center" wrapText="1"/>
      <protection locked="0"/>
    </xf>
    <xf numFmtId="9" fontId="27" fillId="37" borderId="17" xfId="59" applyNumberFormat="1" applyFont="1" applyFill="1" applyBorder="1" applyAlignment="1" applyProtection="1">
      <alignment horizontal="center" vertical="center" wrapText="1"/>
      <protection locked="0"/>
    </xf>
    <xf numFmtId="171" fontId="31" fillId="33" borderId="18" xfId="0" applyNumberFormat="1" applyFont="1" applyFill="1" applyBorder="1" applyAlignment="1">
      <alignment horizontal="right" vertical="center" wrapText="1"/>
    </xf>
    <xf numFmtId="174" fontId="14" fillId="37" borderId="17" xfId="0" applyNumberFormat="1" applyFont="1" applyFill="1" applyBorder="1" applyAlignment="1">
      <alignment horizontal="center" vertical="center" wrapText="1"/>
    </xf>
    <xf numFmtId="172" fontId="30" fillId="37" borderId="17" xfId="0" applyNumberFormat="1" applyFont="1" applyFill="1" applyBorder="1" applyAlignment="1">
      <alignment horizontal="center" vertical="center" wrapText="1"/>
    </xf>
    <xf numFmtId="4" fontId="31" fillId="33" borderId="10" xfId="0" applyNumberFormat="1" applyFont="1" applyFill="1" applyBorder="1" applyAlignment="1">
      <alignment horizontal="right" vertical="center" wrapText="1"/>
    </xf>
    <xf numFmtId="171" fontId="16" fillId="33" borderId="10" xfId="0" applyNumberFormat="1" applyFont="1" applyFill="1" applyBorder="1" applyAlignment="1">
      <alignment horizontal="right" vertical="center" wrapText="1"/>
    </xf>
    <xf numFmtId="174" fontId="3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>
      <alignment horizontal="right" vertical="center" wrapText="1"/>
    </xf>
    <xf numFmtId="174" fontId="32" fillId="33" borderId="17" xfId="0" applyNumberFormat="1" applyFont="1" applyFill="1" applyBorder="1" applyAlignment="1">
      <alignment horizontal="center" vertical="center" wrapText="1"/>
    </xf>
    <xf numFmtId="10" fontId="10" fillId="33" borderId="18" xfId="59" applyNumberFormat="1" applyFont="1" applyFill="1" applyBorder="1" applyAlignment="1">
      <alignment horizontal="right" vertical="center" wrapText="1"/>
    </xf>
    <xf numFmtId="174" fontId="32" fillId="33" borderId="0" xfId="0" applyNumberFormat="1" applyFont="1" applyFill="1" applyBorder="1" applyAlignment="1">
      <alignment horizontal="center" vertical="center" wrapText="1"/>
    </xf>
    <xf numFmtId="171" fontId="0" fillId="34" borderId="11" xfId="0" applyNumberFormat="1" applyFont="1" applyFill="1" applyBorder="1" applyAlignment="1">
      <alignment/>
    </xf>
    <xf numFmtId="167" fontId="0" fillId="34" borderId="11" xfId="0" applyNumberFormat="1" applyFont="1" applyFill="1" applyBorder="1" applyAlignment="1">
      <alignment/>
    </xf>
    <xf numFmtId="0" fontId="36" fillId="34" borderId="11" xfId="0" applyFont="1" applyFill="1" applyBorder="1" applyAlignment="1">
      <alignment horizontal="center"/>
    </xf>
    <xf numFmtId="178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78" fontId="0" fillId="34" borderId="13" xfId="0" applyNumberFormat="1" applyFont="1" applyFill="1" applyBorder="1" applyAlignment="1">
      <alignment/>
    </xf>
    <xf numFmtId="178" fontId="0" fillId="34" borderId="11" xfId="0" applyNumberFormat="1" applyFont="1" applyFill="1" applyBorder="1" applyAlignment="1">
      <alignment/>
    </xf>
    <xf numFmtId="0" fontId="36" fillId="34" borderId="13" xfId="0" applyFont="1" applyFill="1" applyBorder="1" applyAlignment="1">
      <alignment horizontal="right"/>
    </xf>
    <xf numFmtId="178" fontId="36" fillId="34" borderId="13" xfId="0" applyNumberFormat="1" applyFont="1" applyFill="1" applyBorder="1" applyAlignment="1">
      <alignment/>
    </xf>
    <xf numFmtId="171" fontId="36" fillId="34" borderId="13" xfId="0" applyNumberFormat="1" applyFont="1" applyFill="1" applyBorder="1" applyAlignment="1">
      <alignment horizontal="right"/>
    </xf>
    <xf numFmtId="0" fontId="0" fillId="34" borderId="13" xfId="0" applyFont="1" applyFill="1" applyBorder="1" applyAlignment="1">
      <alignment/>
    </xf>
    <xf numFmtId="0" fontId="36" fillId="34" borderId="0" xfId="0" applyFont="1" applyFill="1" applyBorder="1" applyAlignment="1">
      <alignment horizontal="right"/>
    </xf>
    <xf numFmtId="178" fontId="36" fillId="34" borderId="0" xfId="0" applyNumberFormat="1" applyFont="1" applyFill="1" applyBorder="1" applyAlignment="1">
      <alignment/>
    </xf>
    <xf numFmtId="171" fontId="36" fillId="34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182" fontId="10" fillId="33" borderId="10" xfId="0" applyNumberFormat="1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182" fontId="10" fillId="33" borderId="18" xfId="0" applyNumberFormat="1" applyFont="1" applyFill="1" applyBorder="1" applyAlignment="1">
      <alignment vertical="center"/>
    </xf>
    <xf numFmtId="0" fontId="10" fillId="33" borderId="12" xfId="0" applyFont="1" applyFill="1" applyBorder="1" applyAlignment="1">
      <alignment horizontal="right" vertical="center"/>
    </xf>
    <xf numFmtId="43" fontId="10" fillId="33" borderId="10" xfId="42" applyFont="1" applyFill="1" applyBorder="1" applyAlignment="1">
      <alignment horizontal="right" vertical="center"/>
    </xf>
    <xf numFmtId="172" fontId="32" fillId="33" borderId="10" xfId="0" applyNumberFormat="1" applyFont="1" applyFill="1" applyBorder="1" applyAlignment="1">
      <alignment horizontal="left" vertical="center"/>
    </xf>
    <xf numFmtId="10" fontId="32" fillId="33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/>
    </xf>
    <xf numFmtId="0" fontId="4" fillId="34" borderId="12" xfId="0" applyFont="1" applyFill="1" applyBorder="1" applyAlignment="1">
      <alignment horizontal="right"/>
    </xf>
    <xf numFmtId="167" fontId="4" fillId="34" borderId="12" xfId="0" applyNumberFormat="1" applyFont="1" applyFill="1" applyBorder="1" applyAlignment="1">
      <alignment horizontal="right"/>
    </xf>
    <xf numFmtId="174" fontId="31" fillId="33" borderId="10" xfId="0" applyNumberFormat="1" applyFont="1" applyFill="1" applyBorder="1" applyAlignment="1">
      <alignment horizontal="right" vertical="center" wrapText="1"/>
    </xf>
    <xf numFmtId="10" fontId="10" fillId="33" borderId="10" xfId="59" applyNumberFormat="1" applyFont="1" applyFill="1" applyBorder="1" applyAlignment="1">
      <alignment horizontal="right" vertical="center" wrapText="1"/>
    </xf>
    <xf numFmtId="178" fontId="17" fillId="38" borderId="26" xfId="0" applyNumberFormat="1" applyFont="1" applyFill="1" applyBorder="1" applyAlignment="1">
      <alignment/>
    </xf>
    <xf numFmtId="0" fontId="10" fillId="33" borderId="27" xfId="0" applyFont="1" applyFill="1" applyBorder="1" applyAlignment="1">
      <alignment horizontal="left" vertical="center" wrapText="1"/>
    </xf>
    <xf numFmtId="167" fontId="10" fillId="33" borderId="28" xfId="0" applyNumberFormat="1" applyFont="1" applyFill="1" applyBorder="1" applyAlignment="1">
      <alignment horizontal="left" vertical="center" wrapText="1"/>
    </xf>
    <xf numFmtId="10" fontId="16" fillId="33" borderId="29" xfId="59" applyNumberFormat="1" applyFont="1" applyFill="1" applyBorder="1" applyAlignment="1">
      <alignment horizontal="right" vertical="center" wrapText="1"/>
    </xf>
    <xf numFmtId="168" fontId="10" fillId="33" borderId="29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/>
    </xf>
    <xf numFmtId="181" fontId="18" fillId="33" borderId="16" xfId="0" applyNumberFormat="1" applyFont="1" applyFill="1" applyBorder="1" applyAlignment="1" applyProtection="1">
      <alignment horizontal="center" vertical="center" wrapText="1"/>
      <protection locked="0"/>
    </xf>
    <xf numFmtId="166" fontId="75" fillId="33" borderId="18" xfId="0" applyNumberFormat="1" applyFont="1" applyFill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vertical="center"/>
    </xf>
    <xf numFmtId="172" fontId="8" fillId="33" borderId="10" xfId="0" applyNumberFormat="1" applyFont="1" applyFill="1" applyBorder="1" applyAlignment="1">
      <alignment vertical="center"/>
    </xf>
    <xf numFmtId="178" fontId="8" fillId="33" borderId="10" xfId="0" applyNumberFormat="1" applyFont="1" applyFill="1" applyBorder="1" applyAlignment="1">
      <alignment vertical="center"/>
    </xf>
    <xf numFmtId="178" fontId="10" fillId="33" borderId="10" xfId="0" applyNumberFormat="1" applyFont="1" applyFill="1" applyBorder="1" applyAlignment="1">
      <alignment vertical="center"/>
    </xf>
    <xf numFmtId="10" fontId="17" fillId="39" borderId="26" xfId="59" applyNumberFormat="1" applyFont="1" applyFill="1" applyBorder="1" applyAlignment="1" applyProtection="1">
      <alignment/>
      <protection locked="0"/>
    </xf>
    <xf numFmtId="178" fontId="38" fillId="39" borderId="26" xfId="0" applyNumberFormat="1" applyFont="1" applyFill="1" applyBorder="1" applyAlignment="1">
      <alignment/>
    </xf>
    <xf numFmtId="4" fontId="17" fillId="39" borderId="26" xfId="0" applyNumberFormat="1" applyFont="1" applyFill="1" applyBorder="1" applyAlignment="1">
      <alignment/>
    </xf>
    <xf numFmtId="178" fontId="17" fillId="39" borderId="26" xfId="0" applyNumberFormat="1" applyFont="1" applyFill="1" applyBorder="1" applyAlignment="1">
      <alignment vertical="center"/>
    </xf>
    <xf numFmtId="178" fontId="0" fillId="34" borderId="0" xfId="0" applyNumberFormat="1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10" fillId="33" borderId="30" xfId="0" applyFont="1" applyFill="1" applyBorder="1" applyAlignment="1">
      <alignment vertical="center"/>
    </xf>
    <xf numFmtId="0" fontId="10" fillId="33" borderId="31" xfId="0" applyFont="1" applyFill="1" applyBorder="1" applyAlignment="1">
      <alignment vertical="center"/>
    </xf>
    <xf numFmtId="167" fontId="4" fillId="34" borderId="18" xfId="0" applyNumberFormat="1" applyFont="1" applyFill="1" applyBorder="1" applyAlignment="1">
      <alignment horizontal="right"/>
    </xf>
    <xf numFmtId="4" fontId="17" fillId="39" borderId="26" xfId="59" applyNumberFormat="1" applyFont="1" applyFill="1" applyBorder="1" applyAlignment="1" applyProtection="1">
      <alignment horizontal="center"/>
      <protection locked="0"/>
    </xf>
    <xf numFmtId="178" fontId="0" fillId="39" borderId="26" xfId="0" applyNumberFormat="1" applyFont="1" applyFill="1" applyBorder="1" applyAlignment="1">
      <alignment/>
    </xf>
    <xf numFmtId="4" fontId="37" fillId="39" borderId="26" xfId="0" applyNumberFormat="1" applyFont="1" applyFill="1" applyBorder="1" applyAlignment="1">
      <alignment/>
    </xf>
    <xf numFmtId="3" fontId="39" fillId="39" borderId="26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right"/>
    </xf>
    <xf numFmtId="178" fontId="0" fillId="34" borderId="16" xfId="0" applyNumberFormat="1" applyFont="1" applyFill="1" applyBorder="1" applyAlignment="1">
      <alignment/>
    </xf>
    <xf numFmtId="171" fontId="4" fillId="34" borderId="13" xfId="0" applyNumberFormat="1" applyFont="1" applyFill="1" applyBorder="1" applyAlignment="1">
      <alignment horizontal="right"/>
    </xf>
    <xf numFmtId="10" fontId="10" fillId="33" borderId="10" xfId="0" applyNumberFormat="1" applyFont="1" applyFill="1" applyBorder="1" applyAlignment="1">
      <alignment vertical="center"/>
    </xf>
    <xf numFmtId="10" fontId="0" fillId="34" borderId="0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223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168" fontId="76" fillId="33" borderId="26" xfId="0" applyNumberFormat="1" applyFont="1" applyFill="1" applyBorder="1" applyAlignment="1">
      <alignment horizontal="center" vertical="center" wrapText="1"/>
    </xf>
    <xf numFmtId="171" fontId="16" fillId="33" borderId="12" xfId="0" applyNumberFormat="1" applyFont="1" applyFill="1" applyBorder="1" applyAlignment="1">
      <alignment horizontal="right" vertical="center" wrapText="1"/>
    </xf>
    <xf numFmtId="171" fontId="16" fillId="33" borderId="18" xfId="0" applyNumberFormat="1" applyFont="1" applyFill="1" applyBorder="1" applyAlignment="1">
      <alignment horizontal="right" vertical="center" wrapText="1"/>
    </xf>
    <xf numFmtId="167" fontId="0" fillId="34" borderId="18" xfId="0" applyNumberFormat="1" applyFont="1" applyFill="1" applyBorder="1" applyAlignment="1">
      <alignment vertical="center"/>
    </xf>
    <xf numFmtId="168" fontId="10" fillId="33" borderId="10" xfId="0" applyNumberFormat="1" applyFont="1" applyFill="1" applyBorder="1" applyAlignment="1">
      <alignment horizontal="left" vertical="center"/>
    </xf>
    <xf numFmtId="223" fontId="10" fillId="33" borderId="10" xfId="0" applyNumberFormat="1" applyFont="1" applyFill="1" applyBorder="1" applyAlignment="1">
      <alignment horizontal="left" vertical="center"/>
    </xf>
    <xf numFmtId="10" fontId="77" fillId="33" borderId="23" xfId="0" applyNumberFormat="1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right" vertical="center" wrapText="1"/>
    </xf>
    <xf numFmtId="10" fontId="77" fillId="33" borderId="0" xfId="0" applyNumberFormat="1" applyFont="1" applyFill="1" applyBorder="1" applyAlignment="1">
      <alignment horizontal="center" vertical="center"/>
    </xf>
    <xf numFmtId="168" fontId="14" fillId="33" borderId="33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right" vertical="center" wrapText="1"/>
    </xf>
    <xf numFmtId="0" fontId="16" fillId="33" borderId="31" xfId="0" applyFont="1" applyFill="1" applyBorder="1" applyAlignment="1">
      <alignment horizontal="right" vertical="center" wrapText="1"/>
    </xf>
    <xf numFmtId="0" fontId="16" fillId="33" borderId="14" xfId="0" applyFont="1" applyFill="1" applyBorder="1" applyAlignment="1">
      <alignment horizontal="right" vertical="center" wrapText="1"/>
    </xf>
    <xf numFmtId="0" fontId="16" fillId="33" borderId="34" xfId="0" applyFont="1" applyFill="1" applyBorder="1" applyAlignment="1">
      <alignment horizontal="right" vertical="center" wrapText="1"/>
    </xf>
    <xf numFmtId="10" fontId="77" fillId="33" borderId="19" xfId="0" applyNumberFormat="1" applyFont="1" applyFill="1" applyBorder="1" applyAlignment="1">
      <alignment horizontal="center" vertical="center"/>
    </xf>
    <xf numFmtId="10" fontId="77" fillId="33" borderId="31" xfId="0" applyNumberFormat="1" applyFont="1" applyFill="1" applyBorder="1" applyAlignment="1">
      <alignment horizontal="center" vertical="center"/>
    </xf>
    <xf numFmtId="10" fontId="77" fillId="33" borderId="15" xfId="0" applyNumberFormat="1" applyFont="1" applyFill="1" applyBorder="1" applyAlignment="1">
      <alignment horizontal="center" vertical="center"/>
    </xf>
    <xf numFmtId="10" fontId="77" fillId="33" borderId="23" xfId="0" applyNumberFormat="1" applyFont="1" applyFill="1" applyBorder="1" applyAlignment="1">
      <alignment horizontal="center" vertical="center"/>
    </xf>
    <xf numFmtId="177" fontId="33" fillId="33" borderId="12" xfId="0" applyNumberFormat="1" applyFont="1" applyFill="1" applyBorder="1" applyAlignment="1">
      <alignment horizontal="right" vertical="center" wrapText="1"/>
    </xf>
    <xf numFmtId="177" fontId="33" fillId="33" borderId="20" xfId="0" applyNumberFormat="1" applyFont="1" applyFill="1" applyBorder="1" applyAlignment="1">
      <alignment horizontal="right" vertical="center" wrapText="1"/>
    </xf>
    <xf numFmtId="177" fontId="33" fillId="33" borderId="18" xfId="0" applyNumberFormat="1" applyFont="1" applyFill="1" applyBorder="1" applyAlignment="1">
      <alignment horizontal="right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175" fontId="4" fillId="34" borderId="18" xfId="0" applyNumberFormat="1" applyFont="1" applyFill="1" applyBorder="1" applyAlignment="1" applyProtection="1">
      <alignment horizontal="right" vertical="center"/>
      <protection locked="0"/>
    </xf>
    <xf numFmtId="175" fontId="4" fillId="34" borderId="12" xfId="0" applyNumberFormat="1" applyFont="1" applyFill="1" applyBorder="1" applyAlignment="1" applyProtection="1">
      <alignment horizontal="right" vertical="center"/>
      <protection locked="0"/>
    </xf>
    <xf numFmtId="171" fontId="4" fillId="34" borderId="10" xfId="0" applyNumberFormat="1" applyFont="1" applyFill="1" applyBorder="1" applyAlignment="1">
      <alignment horizontal="right"/>
    </xf>
    <xf numFmtId="0" fontId="37" fillId="34" borderId="37" xfId="0" applyFont="1" applyFill="1" applyBorder="1" applyAlignment="1">
      <alignment horizontal="center" vertical="center" wrapText="1"/>
    </xf>
    <xf numFmtId="0" fontId="37" fillId="34" borderId="30" xfId="0" applyFont="1" applyFill="1" applyBorder="1" applyAlignment="1">
      <alignment horizontal="center" vertical="center" wrapText="1"/>
    </xf>
    <xf numFmtId="0" fontId="37" fillId="34" borderId="31" xfId="0" applyFont="1" applyFill="1" applyBorder="1" applyAlignment="1">
      <alignment horizontal="center" vertical="center" wrapText="1"/>
    </xf>
    <xf numFmtId="0" fontId="37" fillId="34" borderId="38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  <xf numFmtId="0" fontId="37" fillId="34" borderId="23" xfId="0" applyFont="1" applyFill="1" applyBorder="1" applyAlignment="1">
      <alignment horizontal="center" vertical="center" wrapText="1"/>
    </xf>
    <xf numFmtId="0" fontId="37" fillId="34" borderId="39" xfId="0" applyFont="1" applyFill="1" applyBorder="1" applyAlignment="1">
      <alignment horizontal="center" vertical="center" wrapText="1"/>
    </xf>
    <xf numFmtId="0" fontId="37" fillId="34" borderId="32" xfId="0" applyFont="1" applyFill="1" applyBorder="1" applyAlignment="1">
      <alignment horizontal="center" vertical="center" wrapText="1"/>
    </xf>
    <xf numFmtId="0" fontId="37" fillId="34" borderId="34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right" vertical="center" wrapText="1"/>
    </xf>
    <xf numFmtId="0" fontId="16" fillId="33" borderId="40" xfId="0" applyFont="1" applyFill="1" applyBorder="1" applyAlignment="1">
      <alignment horizontal="right" vertical="center" wrapText="1"/>
    </xf>
    <xf numFmtId="0" fontId="4" fillId="34" borderId="18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35" fillId="34" borderId="14" xfId="0" applyFont="1" applyFill="1" applyBorder="1" applyAlignment="1">
      <alignment horizontal="center"/>
    </xf>
    <xf numFmtId="0" fontId="35" fillId="34" borderId="0" xfId="0" applyFont="1" applyFill="1" applyBorder="1" applyAlignment="1">
      <alignment horizontal="center"/>
    </xf>
    <xf numFmtId="0" fontId="35" fillId="34" borderId="34" xfId="0" applyFont="1" applyFill="1" applyBorder="1" applyAlignment="1">
      <alignment horizontal="center"/>
    </xf>
    <xf numFmtId="186" fontId="20" fillId="33" borderId="12" xfId="0" applyNumberFormat="1" applyFont="1" applyFill="1" applyBorder="1" applyAlignment="1" applyProtection="1">
      <alignment horizontal="right" vertical="center" wrapText="1"/>
      <protection/>
    </xf>
    <xf numFmtId="186" fontId="20" fillId="33" borderId="40" xfId="0" applyNumberFormat="1" applyFont="1" applyFill="1" applyBorder="1" applyAlignment="1" applyProtection="1">
      <alignment horizontal="right" vertical="center" wrapText="1"/>
      <protection/>
    </xf>
    <xf numFmtId="171" fontId="16" fillId="33" borderId="12" xfId="0" applyNumberFormat="1" applyFont="1" applyFill="1" applyBorder="1" applyAlignment="1">
      <alignment horizontal="right" vertical="center" wrapText="1"/>
    </xf>
    <xf numFmtId="171" fontId="16" fillId="33" borderId="18" xfId="0" applyNumberFormat="1" applyFont="1" applyFill="1" applyBorder="1" applyAlignment="1">
      <alignment horizontal="right" vertical="center" wrapText="1"/>
    </xf>
    <xf numFmtId="0" fontId="21" fillId="33" borderId="35" xfId="0" applyFont="1" applyFill="1" applyBorder="1" applyAlignment="1">
      <alignment horizontal="left" wrapText="1"/>
    </xf>
    <xf numFmtId="0" fontId="21" fillId="33" borderId="41" xfId="0" applyFont="1" applyFill="1" applyBorder="1" applyAlignment="1">
      <alignment horizontal="left" wrapText="1"/>
    </xf>
    <xf numFmtId="0" fontId="21" fillId="33" borderId="36" xfId="0" applyFont="1" applyFill="1" applyBorder="1" applyAlignment="1">
      <alignment horizontal="left" wrapText="1"/>
    </xf>
    <xf numFmtId="0" fontId="16" fillId="33" borderId="42" xfId="0" applyFont="1" applyFill="1" applyBorder="1" applyAlignment="1">
      <alignment horizontal="right" vertical="center" wrapText="1"/>
    </xf>
    <xf numFmtId="0" fontId="16" fillId="33" borderId="43" xfId="0" applyFont="1" applyFill="1" applyBorder="1" applyAlignment="1">
      <alignment horizontal="right" vertical="center" wrapText="1"/>
    </xf>
    <xf numFmtId="0" fontId="16" fillId="33" borderId="44" xfId="0" applyFont="1" applyFill="1" applyBorder="1" applyAlignment="1">
      <alignment horizontal="right" vertical="center" wrapText="1"/>
    </xf>
    <xf numFmtId="167" fontId="10" fillId="33" borderId="45" xfId="0" applyNumberFormat="1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left" vertical="center" wrapText="1"/>
    </xf>
    <xf numFmtId="219" fontId="4" fillId="33" borderId="12" xfId="0" applyNumberFormat="1" applyFont="1" applyFill="1" applyBorder="1" applyAlignment="1">
      <alignment horizontal="right" vertical="center" wrapText="1" indent="1"/>
    </xf>
    <xf numFmtId="219" fontId="0" fillId="0" borderId="40" xfId="0" applyNumberFormat="1" applyFont="1" applyBorder="1" applyAlignment="1">
      <alignment horizontal="right" vertical="center" wrapText="1" indent="1"/>
    </xf>
    <xf numFmtId="0" fontId="10" fillId="33" borderId="45" xfId="0" applyFont="1" applyFill="1" applyBorder="1" applyAlignment="1">
      <alignment horizontal="left" vertical="center" wrapText="1"/>
    </xf>
    <xf numFmtId="213" fontId="16" fillId="33" borderId="12" xfId="0" applyNumberFormat="1" applyFont="1" applyFill="1" applyBorder="1" applyAlignment="1">
      <alignment horizontal="right" vertical="center" wrapText="1" indent="1"/>
    </xf>
    <xf numFmtId="213" fontId="0" fillId="0" borderId="40" xfId="0" applyNumberFormat="1" applyFont="1" applyBorder="1" applyAlignment="1">
      <alignment horizontal="right" vertical="center" wrapText="1" indent="1"/>
    </xf>
    <xf numFmtId="0" fontId="16" fillId="33" borderId="18" xfId="0" applyFont="1" applyFill="1" applyBorder="1" applyAlignment="1">
      <alignment horizontal="right" vertical="center" wrapText="1"/>
    </xf>
    <xf numFmtId="0" fontId="21" fillId="33" borderId="46" xfId="0" applyFont="1" applyFill="1" applyBorder="1" applyAlignment="1">
      <alignment horizontal="left" wrapText="1"/>
    </xf>
    <xf numFmtId="0" fontId="21" fillId="33" borderId="21" xfId="0" applyFont="1" applyFill="1" applyBorder="1" applyAlignment="1">
      <alignment horizontal="left" wrapText="1"/>
    </xf>
    <xf numFmtId="0" fontId="21" fillId="33" borderId="47" xfId="0" applyFont="1" applyFill="1" applyBorder="1" applyAlignment="1">
      <alignment horizontal="left" wrapText="1"/>
    </xf>
    <xf numFmtId="43" fontId="10" fillId="33" borderId="12" xfId="42" applyFont="1" applyFill="1" applyBorder="1" applyAlignment="1">
      <alignment horizontal="left" vertical="center"/>
    </xf>
    <xf numFmtId="43" fontId="10" fillId="33" borderId="20" xfId="42" applyFont="1" applyFill="1" applyBorder="1" applyAlignment="1">
      <alignment horizontal="left" vertical="center"/>
    </xf>
    <xf numFmtId="43" fontId="10" fillId="33" borderId="18" xfId="42" applyFont="1" applyFill="1" applyBorder="1" applyAlignment="1">
      <alignment horizontal="left" vertical="center"/>
    </xf>
    <xf numFmtId="0" fontId="16" fillId="33" borderId="24" xfId="0" applyFont="1" applyFill="1" applyBorder="1" applyAlignment="1">
      <alignment horizontal="right" vertical="center" wrapText="1" indent="1"/>
    </xf>
    <xf numFmtId="0" fontId="0" fillId="0" borderId="48" xfId="0" applyFont="1" applyBorder="1" applyAlignment="1">
      <alignment horizontal="right" vertical="center" wrapText="1" indent="1"/>
    </xf>
    <xf numFmtId="167" fontId="10" fillId="33" borderId="23" xfId="0" applyNumberFormat="1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 wrapText="1"/>
    </xf>
    <xf numFmtId="218" fontId="23" fillId="33" borderId="12" xfId="0" applyNumberFormat="1" applyFont="1" applyFill="1" applyBorder="1" applyAlignment="1">
      <alignment horizontal="right" vertical="center" wrapText="1" indent="1"/>
    </xf>
    <xf numFmtId="218" fontId="24" fillId="0" borderId="20" xfId="0" applyNumberFormat="1" applyFont="1" applyBorder="1" applyAlignment="1">
      <alignment horizontal="right" vertical="center" wrapText="1" indent="1"/>
    </xf>
    <xf numFmtId="0" fontId="16" fillId="33" borderId="12" xfId="0" applyFont="1" applyFill="1" applyBorder="1" applyAlignment="1">
      <alignment horizontal="right" vertical="center" wrapText="1" indent="1"/>
    </xf>
    <xf numFmtId="0" fontId="0" fillId="0" borderId="18" xfId="0" applyFont="1" applyBorder="1" applyAlignment="1">
      <alignment horizontal="right" vertical="center" wrapText="1" indent="1"/>
    </xf>
    <xf numFmtId="0" fontId="16" fillId="33" borderId="14" xfId="0" applyFont="1" applyFill="1" applyBorder="1" applyAlignment="1">
      <alignment horizontal="right" vertical="center" wrapText="1" indent="1"/>
    </xf>
    <xf numFmtId="0" fontId="0" fillId="0" borderId="49" xfId="0" applyFont="1" applyBorder="1" applyAlignment="1">
      <alignment horizontal="right" vertical="center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L438"/>
  <sheetViews>
    <sheetView tabSelected="1" zoomScalePageLayoutView="0" workbookViewId="0" topLeftCell="A18">
      <selection activeCell="D58" sqref="D58:E58"/>
    </sheetView>
  </sheetViews>
  <sheetFormatPr defaultColWidth="9.28125" defaultRowHeight="12.75"/>
  <cols>
    <col min="1" max="1" width="2.421875" style="1" customWidth="1"/>
    <col min="2" max="2" width="33.7109375" style="1" bestFit="1" customWidth="1"/>
    <col min="3" max="3" width="19.57421875" style="1" bestFit="1" customWidth="1"/>
    <col min="4" max="4" width="17.28125" style="1" bestFit="1" customWidth="1"/>
    <col min="5" max="5" width="25.8515625" style="1" bestFit="1" customWidth="1"/>
    <col min="6" max="6" width="17.8515625" style="1" bestFit="1" customWidth="1"/>
    <col min="7" max="7" width="18.28125" style="2" customWidth="1"/>
    <col min="8" max="8" width="17.57421875" style="3" customWidth="1"/>
    <col min="9" max="9" width="11.7109375" style="1" customWidth="1"/>
    <col min="10" max="10" width="4.00390625" style="1" customWidth="1"/>
    <col min="11" max="11" width="15.7109375" style="1" bestFit="1" customWidth="1"/>
    <col min="12" max="12" width="16.421875" style="1" bestFit="1" customWidth="1"/>
    <col min="13" max="16384" width="9.28125" style="1" customWidth="1"/>
  </cols>
  <sheetData>
    <row r="1" spans="1:7" ht="12.75">
      <c r="A1" s="10"/>
      <c r="B1" s="10"/>
      <c r="C1" s="10"/>
      <c r="D1" s="10"/>
      <c r="E1" s="10"/>
      <c r="F1" s="10"/>
      <c r="G1" s="27"/>
    </row>
    <row r="2" spans="1:10" s="6" customFormat="1" ht="21.75" customHeight="1">
      <c r="A2" s="5"/>
      <c r="B2" s="33" t="s">
        <v>64</v>
      </c>
      <c r="C2" s="29"/>
      <c r="D2" s="29"/>
      <c r="E2" s="34"/>
      <c r="F2" s="29"/>
      <c r="G2" s="30"/>
      <c r="H2" s="31"/>
      <c r="I2" s="32"/>
      <c r="J2" s="32"/>
    </row>
    <row r="3" spans="1:10" s="6" customFormat="1" ht="21.75" customHeight="1">
      <c r="A3" s="5"/>
      <c r="B3" s="33"/>
      <c r="C3" s="29"/>
      <c r="D3" s="29"/>
      <c r="E3" s="34"/>
      <c r="F3" s="29"/>
      <c r="G3" s="30"/>
      <c r="H3" s="31"/>
      <c r="I3" s="32"/>
      <c r="J3" s="32"/>
    </row>
    <row r="4" spans="1:10" s="6" customFormat="1" ht="21" customHeight="1">
      <c r="A4" s="5"/>
      <c r="B4" s="35"/>
      <c r="C4" s="29"/>
      <c r="D4" s="36" t="s">
        <v>45</v>
      </c>
      <c r="E4" s="151">
        <v>62</v>
      </c>
      <c r="F4" s="32"/>
      <c r="G4" s="30"/>
      <c r="H4" s="31"/>
      <c r="I4" s="32"/>
      <c r="J4" s="32"/>
    </row>
    <row r="5" spans="2:10" ht="20.25" thickBot="1">
      <c r="B5" s="37"/>
      <c r="C5" s="38"/>
      <c r="D5" s="36" t="s">
        <v>25</v>
      </c>
      <c r="E5" s="150">
        <v>1194</v>
      </c>
      <c r="F5" s="39"/>
      <c r="G5" s="149"/>
      <c r="H5" s="40"/>
      <c r="I5" s="28"/>
      <c r="J5" s="28"/>
    </row>
    <row r="6" spans="2:10" ht="19.5" customHeight="1" thickBot="1">
      <c r="B6" s="28"/>
      <c r="C6" s="28"/>
      <c r="D6" s="41" t="s">
        <v>23</v>
      </c>
      <c r="E6" s="187">
        <f>E5*E4</f>
        <v>74028</v>
      </c>
      <c r="F6" s="42"/>
      <c r="G6" s="43"/>
      <c r="H6" s="40"/>
      <c r="I6" s="28"/>
      <c r="J6" s="28"/>
    </row>
    <row r="7" spans="1:12" ht="21.75" customHeight="1">
      <c r="A7" s="8"/>
      <c r="B7" s="243" t="s">
        <v>0</v>
      </c>
      <c r="C7" s="244"/>
      <c r="D7" s="244"/>
      <c r="E7" s="244"/>
      <c r="F7" s="244"/>
      <c r="G7" s="245"/>
      <c r="H7" s="190" t="s">
        <v>61</v>
      </c>
      <c r="I7" s="191"/>
      <c r="J7" s="28"/>
      <c r="K7" s="188" t="s">
        <v>62</v>
      </c>
      <c r="L7" s="189"/>
    </row>
    <row r="8" spans="1:12" ht="20.25">
      <c r="A8" s="4"/>
      <c r="B8" s="249" t="str">
        <f>"Kupac stana kao obvezno učešće:   "&amp;ROUND(E6*D8/E4,2)&amp;" €/m²"</f>
        <v>Kupac stana kao obvezno učešće:   179,1 €/m²</v>
      </c>
      <c r="C8" s="250"/>
      <c r="D8" s="45">
        <v>0.15</v>
      </c>
      <c r="E8" s="46">
        <f>+E6*D8</f>
        <v>11104.199999999999</v>
      </c>
      <c r="F8" s="251" t="s">
        <v>1</v>
      </c>
      <c r="G8" s="252"/>
      <c r="H8" s="176" t="s">
        <v>54</v>
      </c>
      <c r="I8" s="178">
        <v>22000</v>
      </c>
      <c r="J8" s="43"/>
      <c r="K8" s="28" t="s">
        <v>58</v>
      </c>
      <c r="L8" s="182">
        <f>E8+E9</f>
        <v>52210.2</v>
      </c>
    </row>
    <row r="9" spans="2:12" ht="20.25" customHeight="1">
      <c r="B9" s="257" t="str">
        <f>"Kredit Poslovne banke:   "&amp;E5-(ROUND(E6*D8/E4,2)+B11+B12)&amp;" €/m²"</f>
        <v>Kredit Poslovne banke:   663 €/m²</v>
      </c>
      <c r="C9" s="258"/>
      <c r="D9" s="48">
        <f>+(E5-(E6*D8/E4+B11+B12))/E5</f>
        <v>0.5552763819095478</v>
      </c>
      <c r="E9" s="49">
        <f>+E6*D9</f>
        <v>41106</v>
      </c>
      <c r="F9" s="235" t="s">
        <v>46</v>
      </c>
      <c r="G9" s="236"/>
      <c r="H9" s="175" t="s">
        <v>59</v>
      </c>
      <c r="I9" s="177">
        <f>I8/E6</f>
        <v>0.2971848489760631</v>
      </c>
      <c r="J9" s="28"/>
      <c r="K9" s="28" t="str">
        <f>$H$9</f>
        <v>Postotak učešća:</v>
      </c>
      <c r="L9" s="183">
        <f>L8/E6</f>
        <v>0.7052763819095477</v>
      </c>
    </row>
    <row r="10" spans="2:10" ht="12" customHeight="1" hidden="1">
      <c r="B10" s="253">
        <v>0</v>
      </c>
      <c r="C10" s="254"/>
      <c r="D10" s="147"/>
      <c r="E10" s="148"/>
      <c r="F10" s="146"/>
      <c r="G10" s="145"/>
      <c r="H10" s="50"/>
      <c r="I10" s="47"/>
      <c r="J10" s="28"/>
    </row>
    <row r="11" spans="2:12" ht="16.5" customHeight="1" hidden="1">
      <c r="B11" s="237">
        <f>B10*0.65</f>
        <v>0</v>
      </c>
      <c r="C11" s="238"/>
      <c r="D11" s="51">
        <f>+B11/E5</f>
        <v>0</v>
      </c>
      <c r="E11" s="52">
        <f>+E6*D11</f>
        <v>0</v>
      </c>
      <c r="F11" s="239" t="s">
        <v>47</v>
      </c>
      <c r="G11" s="236"/>
      <c r="H11" s="50"/>
      <c r="I11" s="47"/>
      <c r="J11" s="28"/>
      <c r="L11" s="1">
        <v>1</v>
      </c>
    </row>
    <row r="12" spans="2:10" ht="20.25" customHeight="1">
      <c r="B12" s="240">
        <v>351.9</v>
      </c>
      <c r="C12" s="241"/>
      <c r="D12" s="51">
        <f>+B12/E5</f>
        <v>0.2947236180904522</v>
      </c>
      <c r="E12" s="52">
        <f>+E6*D12</f>
        <v>21817.799999999996</v>
      </c>
      <c r="F12" s="239"/>
      <c r="G12" s="236"/>
      <c r="H12" s="40"/>
      <c r="I12" s="47"/>
      <c r="J12" s="28"/>
    </row>
    <row r="13" spans="2:10" ht="15" customHeight="1">
      <c r="B13" s="255" t="str">
        <f>"UKUPNO:   "&amp;SUM(ROUND(E6*D8/E4,2),E5-(ROUND(E6*D8/E4,2)+B11+B12),B11,B12)&amp;" €/m²"</f>
        <v>UKUPNO:   1194 €/m²</v>
      </c>
      <c r="C13" s="256"/>
      <c r="D13" s="53">
        <f>SUM(D8:D12)</f>
        <v>1</v>
      </c>
      <c r="E13" s="54">
        <f>SUM(E8:E12)</f>
        <v>74028</v>
      </c>
      <c r="F13" s="38"/>
      <c r="G13" s="38"/>
      <c r="H13" s="55"/>
      <c r="I13" s="47"/>
      <c r="J13" s="28"/>
    </row>
    <row r="14" spans="1:10" ht="21.75" customHeight="1">
      <c r="A14" s="8"/>
      <c r="B14" s="229" t="s">
        <v>24</v>
      </c>
      <c r="C14" s="230"/>
      <c r="D14" s="230"/>
      <c r="E14" s="230"/>
      <c r="F14" s="230"/>
      <c r="G14" s="231"/>
      <c r="H14" s="40"/>
      <c r="I14" s="28"/>
      <c r="J14" s="28"/>
    </row>
    <row r="15" spans="1:11" ht="20.25">
      <c r="A15" s="10"/>
      <c r="B15" s="56" t="str">
        <f>D8*100&amp;" % obvezno učešće:"</f>
        <v>15 % obvezno učešće:</v>
      </c>
      <c r="C15" s="57">
        <f>E8</f>
        <v>11104.199999999999</v>
      </c>
      <c r="D15" s="58"/>
      <c r="E15" s="40"/>
      <c r="F15" s="59"/>
      <c r="G15" s="59"/>
      <c r="H15" s="40"/>
      <c r="I15" s="60"/>
      <c r="J15" s="28"/>
      <c r="K15" s="152"/>
    </row>
    <row r="16" spans="1:10" ht="21.75" customHeight="1">
      <c r="A16" s="8"/>
      <c r="B16" s="243" t="s">
        <v>2</v>
      </c>
      <c r="C16" s="244"/>
      <c r="D16" s="244"/>
      <c r="E16" s="244"/>
      <c r="F16" s="244"/>
      <c r="G16" s="245"/>
      <c r="H16" s="40"/>
      <c r="I16" s="28"/>
      <c r="J16" s="28"/>
    </row>
    <row r="17" spans="1:10" ht="5.25" customHeight="1">
      <c r="A17" s="16"/>
      <c r="B17" s="61"/>
      <c r="C17" s="44"/>
      <c r="D17" s="62"/>
      <c r="E17" s="62"/>
      <c r="F17" s="62"/>
      <c r="G17" s="63"/>
      <c r="H17" s="40"/>
      <c r="I17" s="28"/>
      <c r="J17" s="28"/>
    </row>
    <row r="18" spans="1:10" ht="21.75" customHeight="1">
      <c r="A18" s="16"/>
      <c r="B18" s="17" t="s">
        <v>30</v>
      </c>
      <c r="C18" s="64" t="s">
        <v>40</v>
      </c>
      <c r="D18" s="62"/>
      <c r="E18" s="62"/>
      <c r="F18" s="62"/>
      <c r="G18" s="63"/>
      <c r="H18" s="40"/>
      <c r="I18" s="28"/>
      <c r="J18" s="28"/>
    </row>
    <row r="19" spans="1:10" ht="21.75" customHeight="1">
      <c r="A19" s="16"/>
      <c r="B19" s="18" t="s">
        <v>31</v>
      </c>
      <c r="C19" s="22" t="s">
        <v>28</v>
      </c>
      <c r="D19" s="65"/>
      <c r="E19" s="65"/>
      <c r="F19" s="65"/>
      <c r="G19" s="66"/>
      <c r="H19" s="40"/>
      <c r="I19" s="28"/>
      <c r="J19" s="28"/>
    </row>
    <row r="20" spans="1:10" ht="5.25" customHeight="1">
      <c r="A20" s="16"/>
      <c r="B20" s="19"/>
      <c r="C20" s="20"/>
      <c r="D20" s="67"/>
      <c r="E20" s="67"/>
      <c r="F20" s="67"/>
      <c r="G20" s="67"/>
      <c r="H20" s="40"/>
      <c r="I20" s="28"/>
      <c r="J20" s="28"/>
    </row>
    <row r="21" spans="1:10" ht="19.5" customHeight="1">
      <c r="A21" s="9"/>
      <c r="B21" s="68" t="s">
        <v>3</v>
      </c>
      <c r="C21" s="69">
        <f>+E9</f>
        <v>41106</v>
      </c>
      <c r="D21" s="232" t="str">
        <f>+B21</f>
        <v>Kredit poslovne banke:</v>
      </c>
      <c r="E21" s="233"/>
      <c r="F21" s="70">
        <f>+C32</f>
        <v>41106</v>
      </c>
      <c r="G21" s="71"/>
      <c r="H21" s="40"/>
      <c r="I21" s="28"/>
      <c r="J21" s="72"/>
    </row>
    <row r="22" spans="2:10" ht="15" customHeight="1" hidden="1">
      <c r="B22" s="36"/>
      <c r="C22" s="73"/>
      <c r="D22" s="217" t="s">
        <v>4</v>
      </c>
      <c r="E22" s="242"/>
      <c r="F22" s="75">
        <v>0</v>
      </c>
      <c r="G22" s="40"/>
      <c r="H22" s="40"/>
      <c r="I22" s="28"/>
      <c r="J22" s="28"/>
    </row>
    <row r="23" spans="2:10" ht="15" customHeight="1" hidden="1">
      <c r="B23" s="36" t="s">
        <v>5</v>
      </c>
      <c r="C23" s="76">
        <f>+C21-C22</f>
        <v>41106</v>
      </c>
      <c r="D23" s="217" t="s">
        <v>5</v>
      </c>
      <c r="E23" s="242"/>
      <c r="F23" s="76">
        <f>+F21-F22</f>
        <v>41106</v>
      </c>
      <c r="G23" s="77"/>
      <c r="H23" s="40"/>
      <c r="I23" s="28"/>
      <c r="J23" s="28"/>
    </row>
    <row r="24" spans="1:10" ht="20.25" customHeight="1">
      <c r="A24" s="10"/>
      <c r="B24" s="74" t="s">
        <v>44</v>
      </c>
      <c r="C24" s="78">
        <f>C70</f>
        <v>0</v>
      </c>
      <c r="D24" s="234" t="s">
        <v>6</v>
      </c>
      <c r="E24" s="218"/>
      <c r="F24" s="79">
        <f>IF($C$19=$C$67,F25,F26)</f>
        <v>0.024</v>
      </c>
      <c r="G24" s="80"/>
      <c r="H24" s="40"/>
      <c r="I24" s="28"/>
      <c r="J24" s="28"/>
    </row>
    <row r="25" spans="1:10" ht="20.25" customHeight="1" hidden="1">
      <c r="A25" s="10"/>
      <c r="B25" s="74" t="s">
        <v>34</v>
      </c>
      <c r="C25" s="81">
        <f>IF($C$18=B69,C69,IF($C$18=$B$70,C70,#REF!))</f>
        <v>0</v>
      </c>
      <c r="D25" s="234" t="s">
        <v>36</v>
      </c>
      <c r="E25" s="218"/>
      <c r="F25" s="82">
        <f>IF($C$18=$B$69,D69,IF($C$18=$B$70,D70,#REF!))</f>
        <v>0.024</v>
      </c>
      <c r="G25" s="80"/>
      <c r="H25" s="40"/>
      <c r="I25" s="28"/>
      <c r="J25" s="28"/>
    </row>
    <row r="26" spans="1:10" ht="20.25" customHeight="1" hidden="1">
      <c r="A26" s="10"/>
      <c r="B26" s="74" t="s">
        <v>35</v>
      </c>
      <c r="C26" s="81" t="e">
        <f>IF($C$18=B69,#REF!,IF($C$18=$B$70,#REF!,#REF!))</f>
        <v>#REF!</v>
      </c>
      <c r="D26" s="234" t="s">
        <v>37</v>
      </c>
      <c r="E26" s="218"/>
      <c r="F26" s="82" t="e">
        <f>IF($C$18=$B$69,#REF!,IF($C$18=$B$70,#REF!,#REF!))</f>
        <v>#REF!</v>
      </c>
      <c r="G26" s="80"/>
      <c r="H26" s="40"/>
      <c r="I26" s="28"/>
      <c r="J26" s="28"/>
    </row>
    <row r="27" spans="2:10" ht="14.25" hidden="1">
      <c r="B27" s="36" t="s">
        <v>7</v>
      </c>
      <c r="C27" s="83">
        <f>+C23</f>
        <v>41106</v>
      </c>
      <c r="D27" s="84"/>
      <c r="E27" s="85"/>
      <c r="F27" s="86">
        <f>+F23</f>
        <v>41106</v>
      </c>
      <c r="G27" s="77"/>
      <c r="H27" s="40"/>
      <c r="I27" s="28"/>
      <c r="J27" s="28"/>
    </row>
    <row r="28" spans="1:10" ht="19.5" customHeight="1">
      <c r="A28" s="10"/>
      <c r="B28" s="74" t="s">
        <v>8</v>
      </c>
      <c r="C28" s="87">
        <v>0</v>
      </c>
      <c r="D28" s="234" t="s">
        <v>9</v>
      </c>
      <c r="E28" s="218"/>
      <c r="F28" s="88">
        <f>I76</f>
        <v>229</v>
      </c>
      <c r="G28" s="89" t="str">
        <f>FLOOR(F28/12,1)&amp;" godina"&amp;" i "&amp;F28-(FLOOR(F28/12,1)*12)&amp;" mjeseci"</f>
        <v>19 godina i 1 mjeseci</v>
      </c>
      <c r="H28" s="28"/>
      <c r="I28" s="28"/>
      <c r="J28" s="72"/>
    </row>
    <row r="29" spans="1:10" ht="19.5" customHeight="1" hidden="1">
      <c r="A29" s="10"/>
      <c r="B29" s="36" t="s">
        <v>32</v>
      </c>
      <c r="C29" s="90">
        <f>+(C27*C25*C28)/100</f>
        <v>0</v>
      </c>
      <c r="D29" s="91"/>
      <c r="E29" s="91" t="s">
        <v>28</v>
      </c>
      <c r="F29" s="92">
        <f>($F$25/12)*POWER((($F$25/12)+1),D31)/(POWER((($F$25/12)+1),D31)-1)*$F$27</f>
        <v>223.91136748686912</v>
      </c>
      <c r="G29" s="89"/>
      <c r="H29" s="28"/>
      <c r="I29" s="28"/>
      <c r="J29" s="72"/>
    </row>
    <row r="30" spans="1:10" ht="19.5" customHeight="1" hidden="1">
      <c r="A30" s="10"/>
      <c r="B30" s="36" t="s">
        <v>33</v>
      </c>
      <c r="C30" s="90" t="e">
        <f>+(C27*C26*C28)/100</f>
        <v>#REF!</v>
      </c>
      <c r="D30" s="91"/>
      <c r="E30" s="91" t="s">
        <v>29</v>
      </c>
      <c r="F30" s="92" t="e">
        <f>($F$26/12)*POWER((($F$26/12)+1),D31)/(POWER((($F$26/12)+1),D31)-1)*$F$27</f>
        <v>#REF!</v>
      </c>
      <c r="G30" s="89"/>
      <c r="H30" s="28"/>
      <c r="I30" s="28"/>
      <c r="J30" s="72"/>
    </row>
    <row r="31" spans="2:9" ht="19.5" customHeight="1">
      <c r="B31" s="36" t="s">
        <v>42</v>
      </c>
      <c r="C31" s="90">
        <f>IF($C$19=$C$67,C29,C30)</f>
        <v>0</v>
      </c>
      <c r="D31" s="225">
        <f>+F28</f>
        <v>229</v>
      </c>
      <c r="E31" s="226"/>
      <c r="F31" s="92">
        <f>IF($C$19=$C$67,F29,F30)</f>
        <v>223.91136748686912</v>
      </c>
      <c r="G31" s="43"/>
      <c r="H31" s="40"/>
      <c r="I31" s="93"/>
    </row>
    <row r="32" spans="2:12" ht="15" customHeight="1">
      <c r="B32" s="36" t="s">
        <v>10</v>
      </c>
      <c r="C32" s="94">
        <f>+C31+C27</f>
        <v>41106</v>
      </c>
      <c r="D32" s="227" t="s">
        <v>11</v>
      </c>
      <c r="E32" s="228"/>
      <c r="F32" s="95">
        <f>+F31*D31</f>
        <v>51275.70315449303</v>
      </c>
      <c r="G32" s="96"/>
      <c r="H32" s="96"/>
      <c r="I32" s="28"/>
      <c r="J32" s="97"/>
      <c r="K32" s="153"/>
      <c r="L32" s="153"/>
    </row>
    <row r="33" spans="1:10" ht="21.75" customHeight="1">
      <c r="A33" s="8"/>
      <c r="B33" s="229" t="s">
        <v>48</v>
      </c>
      <c r="C33" s="230"/>
      <c r="D33" s="230"/>
      <c r="E33" s="230"/>
      <c r="F33" s="230"/>
      <c r="G33" s="231"/>
      <c r="H33" s="40"/>
      <c r="I33" s="28"/>
      <c r="J33" s="28"/>
    </row>
    <row r="34" spans="1:10" ht="19.5" customHeight="1">
      <c r="A34" s="9"/>
      <c r="B34" s="98" t="s">
        <v>12</v>
      </c>
      <c r="C34" s="99">
        <f>+E11+E12</f>
        <v>21817.799999999996</v>
      </c>
      <c r="D34" s="232" t="str">
        <f>+B34</f>
        <v>Glavnica za obračun:</v>
      </c>
      <c r="E34" s="233"/>
      <c r="F34" s="90">
        <f>+C41</f>
        <v>26380.144656426703</v>
      </c>
      <c r="G34" s="100"/>
      <c r="H34" s="101"/>
      <c r="I34" s="28"/>
      <c r="J34" s="97"/>
    </row>
    <row r="35" spans="2:10" ht="15" customHeight="1" hidden="1">
      <c r="B35" s="36" t="s">
        <v>4</v>
      </c>
      <c r="C35" s="95">
        <v>0</v>
      </c>
      <c r="D35" s="84"/>
      <c r="E35" s="84"/>
      <c r="F35" s="75">
        <v>0</v>
      </c>
      <c r="G35" s="28"/>
      <c r="H35" s="102">
        <f>+F35/$E$4</f>
        <v>0</v>
      </c>
      <c r="I35" s="28"/>
      <c r="J35" s="28"/>
    </row>
    <row r="36" spans="2:10" ht="15" customHeight="1" hidden="1">
      <c r="B36" s="36" t="s">
        <v>5</v>
      </c>
      <c r="C36" s="76">
        <f>+C34-C35</f>
        <v>21817.799999999996</v>
      </c>
      <c r="D36" s="84"/>
      <c r="E36" s="84"/>
      <c r="F36" s="76">
        <f>+F34-F35</f>
        <v>26380.144656426703</v>
      </c>
      <c r="G36" s="28"/>
      <c r="H36" s="102">
        <f>+F36/$E$4</f>
        <v>425.48620413591453</v>
      </c>
      <c r="I36" s="28"/>
      <c r="J36" s="28"/>
    </row>
    <row r="37" spans="1:10" ht="19.5" customHeight="1">
      <c r="A37" s="10"/>
      <c r="B37" s="74" t="s">
        <v>13</v>
      </c>
      <c r="C37" s="103">
        <v>1</v>
      </c>
      <c r="D37" s="234" t="s">
        <v>6</v>
      </c>
      <c r="E37" s="218"/>
      <c r="F37" s="104">
        <v>0.02</v>
      </c>
      <c r="G37" s="105"/>
      <c r="H37" s="101"/>
      <c r="I37" s="28"/>
      <c r="J37" s="28"/>
    </row>
    <row r="38" spans="2:10" ht="15" customHeight="1" hidden="1">
      <c r="B38" s="36" t="s">
        <v>7</v>
      </c>
      <c r="C38" s="95">
        <f>+C36</f>
        <v>21817.799999999996</v>
      </c>
      <c r="D38" s="84"/>
      <c r="E38" s="85"/>
      <c r="F38" s="86">
        <f>+F36</f>
        <v>26380.144656426703</v>
      </c>
      <c r="G38" s="96"/>
      <c r="H38" s="101"/>
      <c r="I38" s="28"/>
      <c r="J38" s="28"/>
    </row>
    <row r="39" spans="2:10" ht="19.5" customHeight="1">
      <c r="B39" s="36" t="s">
        <v>14</v>
      </c>
      <c r="C39" s="142">
        <f>C28*12+F28</f>
        <v>229</v>
      </c>
      <c r="D39" s="217" t="s">
        <v>9</v>
      </c>
      <c r="E39" s="218"/>
      <c r="F39" s="106">
        <f>F50-F28</f>
        <v>131</v>
      </c>
      <c r="G39" s="89" t="str">
        <f>FLOOR(F39/12,1)&amp;" godina"&amp;" i "&amp;F39-(FLOOR(F39/12,1)*12)&amp;" mjeseci"</f>
        <v>10 godina i 11 mjeseci</v>
      </c>
      <c r="H39" s="101"/>
      <c r="I39" s="28"/>
      <c r="J39" s="28"/>
    </row>
    <row r="40" spans="2:10" ht="19.5" customHeight="1">
      <c r="B40" s="36" t="s">
        <v>42</v>
      </c>
      <c r="C40" s="75">
        <f>((POWER((1+C37/100),(C39/12))-1)*C38)</f>
        <v>4562.344656426706</v>
      </c>
      <c r="D40" s="225">
        <f>+F39</f>
        <v>131</v>
      </c>
      <c r="E40" s="226"/>
      <c r="F40" s="107">
        <f>($F$37/12)*POWER((($F$37/12)+1),D40)/(POWER((($F$37/12)+1),D40)-1)*$F$38</f>
        <v>224.32502429885278</v>
      </c>
      <c r="G40" s="43"/>
      <c r="H40" s="108"/>
      <c r="I40" s="93"/>
      <c r="J40" s="28"/>
    </row>
    <row r="41" spans="2:10" ht="15" customHeight="1">
      <c r="B41" s="36" t="s">
        <v>10</v>
      </c>
      <c r="C41" s="75">
        <f>+C40+C38</f>
        <v>26380.144656426703</v>
      </c>
      <c r="D41" s="227" t="s">
        <v>11</v>
      </c>
      <c r="E41" s="228"/>
      <c r="F41" s="95">
        <f>+F40*D40</f>
        <v>29386.578183149715</v>
      </c>
      <c r="G41" s="77"/>
      <c r="H41" s="77"/>
      <c r="I41" s="28"/>
      <c r="J41" s="28"/>
    </row>
    <row r="42" spans="2:10" ht="15" customHeight="1" hidden="1">
      <c r="B42" s="36"/>
      <c r="C42" s="75"/>
      <c r="D42" s="179"/>
      <c r="E42" s="180"/>
      <c r="F42" s="95"/>
      <c r="G42" s="77"/>
      <c r="H42" s="77"/>
      <c r="I42" s="28"/>
      <c r="J42" s="28"/>
    </row>
    <row r="43" spans="2:10" ht="38.25" customHeight="1" hidden="1">
      <c r="B43" s="36"/>
      <c r="C43" s="75"/>
      <c r="D43" s="179"/>
      <c r="E43" s="180" t="s">
        <v>56</v>
      </c>
      <c r="F43" s="95">
        <f>E6*0.25%</f>
        <v>185.07</v>
      </c>
      <c r="G43" s="77"/>
      <c r="H43" s="77"/>
      <c r="I43" s="28"/>
      <c r="J43" s="28"/>
    </row>
    <row r="44" spans="2:10" ht="15" customHeight="1">
      <c r="B44" s="36"/>
      <c r="C44" s="75"/>
      <c r="D44" s="179"/>
      <c r="E44" s="180"/>
      <c r="F44" s="95"/>
      <c r="G44" s="77"/>
      <c r="H44" s="77"/>
      <c r="I44" s="28"/>
      <c r="J44" s="28"/>
    </row>
    <row r="45" spans="2:10" ht="15" customHeight="1" hidden="1">
      <c r="B45" s="36"/>
      <c r="C45" s="77"/>
      <c r="D45" s="109"/>
      <c r="E45" s="85"/>
      <c r="F45" s="77"/>
      <c r="G45" s="40"/>
      <c r="H45" s="40"/>
      <c r="I45" s="28"/>
      <c r="J45" s="28"/>
    </row>
    <row r="46" spans="2:12" ht="15" customHeight="1">
      <c r="B46" s="36" t="s">
        <v>15</v>
      </c>
      <c r="C46" s="75">
        <f>+E13</f>
        <v>74028</v>
      </c>
      <c r="D46" s="192" t="s">
        <v>57</v>
      </c>
      <c r="E46" s="193"/>
      <c r="F46" s="196" t="str">
        <f>IF(F43&lt;F40,("OK!"),("SMANJI BROJ GODINA!"))</f>
        <v>OK!</v>
      </c>
      <c r="G46" s="197"/>
      <c r="H46" s="40"/>
      <c r="I46" s="28"/>
      <c r="J46" s="28"/>
      <c r="L46" s="154"/>
    </row>
    <row r="47" spans="2:10" ht="15" customHeight="1">
      <c r="B47" s="36" t="s">
        <v>16</v>
      </c>
      <c r="C47" s="75">
        <f>+C49-C46</f>
        <v>17738.481337642734</v>
      </c>
      <c r="D47" s="194"/>
      <c r="E47" s="195"/>
      <c r="F47" s="198"/>
      <c r="G47" s="199"/>
      <c r="H47" s="40"/>
      <c r="I47" s="28"/>
      <c r="J47" s="28"/>
    </row>
    <row r="48" spans="2:10" ht="15" customHeight="1">
      <c r="B48" s="36" t="s">
        <v>63</v>
      </c>
      <c r="C48" s="75">
        <f>C49-E8</f>
        <v>80662.28133764274</v>
      </c>
      <c r="D48" s="98"/>
      <c r="E48" s="185"/>
      <c r="F48" s="186"/>
      <c r="G48" s="184"/>
      <c r="H48" s="40"/>
      <c r="I48" s="28"/>
      <c r="J48" s="28"/>
    </row>
    <row r="49" spans="2:10" ht="15" customHeight="1">
      <c r="B49" s="36" t="s">
        <v>17</v>
      </c>
      <c r="C49" s="75">
        <f>+E8+F32+F41</f>
        <v>91766.48133764273</v>
      </c>
      <c r="D49" s="217" t="s">
        <v>18</v>
      </c>
      <c r="E49" s="218"/>
      <c r="F49" s="110">
        <v>30</v>
      </c>
      <c r="G49" s="111"/>
      <c r="H49" s="40"/>
      <c r="I49" s="28"/>
      <c r="J49" s="28"/>
    </row>
    <row r="50" spans="2:10" ht="15" customHeight="1">
      <c r="B50" s="36" t="s">
        <v>43</v>
      </c>
      <c r="C50" s="143">
        <f>+C47/E6</f>
        <v>0.23961854079054862</v>
      </c>
      <c r="D50" s="217" t="s">
        <v>19</v>
      </c>
      <c r="E50" s="218"/>
      <c r="F50" s="112">
        <f>F49*12</f>
        <v>360</v>
      </c>
      <c r="G50" s="113"/>
      <c r="H50" s="40"/>
      <c r="I50" s="28"/>
      <c r="J50" s="28"/>
    </row>
    <row r="51" spans="2:10" ht="15" customHeight="1">
      <c r="B51" s="36"/>
      <c r="C51" s="143"/>
      <c r="D51" s="74"/>
      <c r="E51" s="91"/>
      <c r="F51" s="114"/>
      <c r="G51" s="113"/>
      <c r="H51" s="40"/>
      <c r="I51" s="28"/>
      <c r="J51" s="28"/>
    </row>
    <row r="52" spans="1:10" ht="21.75" customHeight="1">
      <c r="A52" s="8"/>
      <c r="B52" s="229" t="s">
        <v>50</v>
      </c>
      <c r="C52" s="230"/>
      <c r="D52" s="230"/>
      <c r="E52" s="230"/>
      <c r="F52" s="230"/>
      <c r="G52" s="231"/>
      <c r="H52" s="40"/>
      <c r="I52" s="28"/>
      <c r="J52" s="28"/>
    </row>
    <row r="53" spans="2:10" ht="19.5" customHeight="1" hidden="1">
      <c r="B53" s="222" t="s">
        <v>39</v>
      </c>
      <c r="C53" s="223"/>
      <c r="D53" s="224"/>
      <c r="E53" s="115"/>
      <c r="F53" s="116"/>
      <c r="G53" s="117"/>
      <c r="H53" s="28"/>
      <c r="I53" s="28"/>
      <c r="J53" s="28"/>
    </row>
    <row r="54" spans="2:10" ht="19.5" customHeight="1" hidden="1">
      <c r="B54" s="140" t="s">
        <v>41</v>
      </c>
      <c r="C54" s="144">
        <f>E6-E8</f>
        <v>62923.8</v>
      </c>
      <c r="D54" s="219" t="str">
        <f>+B54</f>
        <v>Kredit Banke i APN-a:</v>
      </c>
      <c r="E54" s="221"/>
      <c r="F54" s="118">
        <f>+C63</f>
        <v>63283.8</v>
      </c>
      <c r="G54" s="119"/>
      <c r="H54" s="28"/>
      <c r="I54" s="28"/>
      <c r="J54" s="28"/>
    </row>
    <row r="55" spans="2:10" ht="19.5" customHeight="1" hidden="1">
      <c r="B55" s="139"/>
      <c r="C55" s="115"/>
      <c r="D55" s="138" t="s">
        <v>4</v>
      </c>
      <c r="E55" s="138"/>
      <c r="F55" s="118">
        <v>0</v>
      </c>
      <c r="G55" s="119"/>
      <c r="H55" s="28"/>
      <c r="I55" s="28"/>
      <c r="J55" s="28"/>
    </row>
    <row r="56" spans="2:10" ht="19.5" customHeight="1" hidden="1">
      <c r="B56" s="138" t="s">
        <v>5</v>
      </c>
      <c r="C56" s="118">
        <f>+C54-C55</f>
        <v>62923.8</v>
      </c>
      <c r="D56" s="138" t="s">
        <v>5</v>
      </c>
      <c r="E56" s="138"/>
      <c r="F56" s="120">
        <f>+F54-F55</f>
        <v>63283.8</v>
      </c>
      <c r="G56" s="119"/>
      <c r="H56" s="28"/>
      <c r="I56" s="28"/>
      <c r="J56" s="28"/>
    </row>
    <row r="57" spans="2:10" ht="19.5" customHeight="1">
      <c r="B57" s="138"/>
      <c r="C57" s="120"/>
      <c r="D57" s="138"/>
      <c r="E57" s="140"/>
      <c r="F57" s="160"/>
      <c r="G57" s="161"/>
      <c r="H57" s="162"/>
      <c r="I57" s="162"/>
      <c r="J57" s="163"/>
    </row>
    <row r="58" spans="2:10" ht="19.5" customHeight="1">
      <c r="B58" s="140" t="s">
        <v>51</v>
      </c>
      <c r="C58" s="165">
        <f>E6-C15</f>
        <v>62923.8</v>
      </c>
      <c r="D58" s="219" t="s">
        <v>49</v>
      </c>
      <c r="E58" s="220"/>
      <c r="F58" s="156">
        <f>RATE(F50,-F62,C58)*12</f>
        <v>0.017281541594652994</v>
      </c>
      <c r="G58" s="208"/>
      <c r="H58" s="209"/>
      <c r="I58" s="209"/>
      <c r="J58" s="210"/>
    </row>
    <row r="59" spans="2:10" ht="19.5" customHeight="1" hidden="1">
      <c r="B59" s="140" t="s">
        <v>7</v>
      </c>
      <c r="C59" s="166">
        <f>+C56</f>
        <v>62923.8</v>
      </c>
      <c r="D59" s="164"/>
      <c r="E59" s="141"/>
      <c r="F59" s="157">
        <f>+F56</f>
        <v>63283.8</v>
      </c>
      <c r="G59" s="211"/>
      <c r="H59" s="212"/>
      <c r="I59" s="212"/>
      <c r="J59" s="213"/>
    </row>
    <row r="60" spans="2:10" ht="19.5" customHeight="1" hidden="1">
      <c r="B60" s="140"/>
      <c r="C60" s="166">
        <f>C21</f>
        <v>41106</v>
      </c>
      <c r="D60" s="164"/>
      <c r="E60" s="141"/>
      <c r="F60" s="157"/>
      <c r="G60" s="211"/>
      <c r="H60" s="212"/>
      <c r="I60" s="212"/>
      <c r="J60" s="213"/>
    </row>
    <row r="61" spans="2:10" ht="19.5" customHeight="1" hidden="1">
      <c r="B61" s="140" t="s">
        <v>20</v>
      </c>
      <c r="C61" s="167">
        <f>+C28</f>
        <v>0</v>
      </c>
      <c r="D61" s="219" t="s">
        <v>21</v>
      </c>
      <c r="E61" s="220"/>
      <c r="F61" s="158">
        <f>F49</f>
        <v>30</v>
      </c>
      <c r="G61" s="214"/>
      <c r="H61" s="215"/>
      <c r="I61" s="215"/>
      <c r="J61" s="216"/>
    </row>
    <row r="62" spans="2:11" ht="19.5" customHeight="1">
      <c r="B62" s="140" t="s">
        <v>19</v>
      </c>
      <c r="C62" s="168">
        <f>F50</f>
        <v>360</v>
      </c>
      <c r="D62" s="205">
        <f>+F61*12</f>
        <v>360</v>
      </c>
      <c r="E62" s="206"/>
      <c r="F62" s="159">
        <f>(F31+F40)/2</f>
        <v>224.11819589286097</v>
      </c>
      <c r="G62" s="181">
        <f>F62*7.65</f>
        <v>1714.5041985803864</v>
      </c>
      <c r="H62" s="28"/>
      <c r="I62" s="155"/>
      <c r="J62" s="28"/>
      <c r="K62" s="153"/>
    </row>
    <row r="63" spans="2:10" ht="19.5" customHeight="1" hidden="1">
      <c r="B63" s="138" t="s">
        <v>10</v>
      </c>
      <c r="C63" s="121">
        <f>+C62+C59</f>
        <v>63283.8</v>
      </c>
      <c r="D63" s="207" t="s">
        <v>22</v>
      </c>
      <c r="E63" s="207"/>
      <c r="F63" s="121">
        <f>+F62*D62</f>
        <v>80682.55052142995</v>
      </c>
      <c r="G63" s="119"/>
      <c r="H63" s="28"/>
      <c r="I63" s="28"/>
      <c r="J63" s="28"/>
    </row>
    <row r="64" spans="2:10" ht="19.5" customHeight="1" hidden="1">
      <c r="B64" s="169"/>
      <c r="C64" s="170"/>
      <c r="D64" s="171"/>
      <c r="E64" s="171" t="s">
        <v>52</v>
      </c>
      <c r="F64" s="170">
        <f>C58/F50</f>
        <v>174.78833333333336</v>
      </c>
      <c r="G64" s="125"/>
      <c r="H64" s="28"/>
      <c r="I64" s="28"/>
      <c r="J64" s="28"/>
    </row>
    <row r="65" spans="2:10" ht="15.75" customHeight="1" hidden="1">
      <c r="B65" s="122"/>
      <c r="C65" s="123"/>
      <c r="D65" s="124"/>
      <c r="E65" s="171" t="s">
        <v>53</v>
      </c>
      <c r="F65" s="174">
        <f>(F62-F64)</f>
        <v>49.32986255952761</v>
      </c>
      <c r="G65" s="125"/>
      <c r="H65" s="28"/>
      <c r="I65" s="28"/>
      <c r="J65" s="28"/>
    </row>
    <row r="66" spans="2:10" ht="15.75" customHeight="1">
      <c r="B66" s="126"/>
      <c r="C66" s="127"/>
      <c r="D66" s="128"/>
      <c r="E66" s="171" t="s">
        <v>55</v>
      </c>
      <c r="F66" s="173">
        <f>F65/F64</f>
        <v>0.28222628832699137</v>
      </c>
      <c r="G66" s="129"/>
      <c r="H66" s="28"/>
      <c r="I66" s="28"/>
      <c r="J66" s="28"/>
    </row>
    <row r="67" spans="2:10" ht="12.75">
      <c r="B67" s="60"/>
      <c r="C67" s="203" t="s">
        <v>28</v>
      </c>
      <c r="D67" s="204"/>
      <c r="E67" s="130"/>
      <c r="F67" s="172"/>
      <c r="G67" s="28"/>
      <c r="H67" s="28"/>
      <c r="I67" s="28"/>
      <c r="J67" s="28"/>
    </row>
    <row r="68" spans="2:10" ht="12.75">
      <c r="B68" s="131"/>
      <c r="C68" s="132" t="s">
        <v>26</v>
      </c>
      <c r="D68" s="132" t="s">
        <v>27</v>
      </c>
      <c r="E68" s="133"/>
      <c r="F68" s="28"/>
      <c r="G68" s="28"/>
      <c r="H68" s="28"/>
      <c r="I68" s="28"/>
      <c r="J68" s="28"/>
    </row>
    <row r="69" spans="2:10" ht="15.75" hidden="1">
      <c r="B69" s="134"/>
      <c r="C69" s="23">
        <v>5.5</v>
      </c>
      <c r="D69" s="24">
        <v>0.055</v>
      </c>
      <c r="E69" s="133"/>
      <c r="F69" s="28"/>
      <c r="G69" s="28"/>
      <c r="H69" s="28"/>
      <c r="I69" s="28"/>
      <c r="J69" s="28"/>
    </row>
    <row r="70" spans="2:10" ht="15.75">
      <c r="B70" s="134" t="s">
        <v>40</v>
      </c>
      <c r="C70" s="25"/>
      <c r="D70" s="26">
        <v>0.024</v>
      </c>
      <c r="E70" s="133"/>
      <c r="F70" s="28"/>
      <c r="G70" s="28"/>
      <c r="H70" s="28"/>
      <c r="I70" s="28"/>
      <c r="J70" s="28"/>
    </row>
    <row r="71" spans="2:10" ht="13.5" customHeight="1">
      <c r="B71" s="28"/>
      <c r="C71" s="37"/>
      <c r="D71" s="37"/>
      <c r="E71" s="37"/>
      <c r="F71" s="37"/>
      <c r="G71" s="130"/>
      <c r="H71" s="28"/>
      <c r="I71" s="28"/>
      <c r="J71" s="28"/>
    </row>
    <row r="72" spans="2:10" ht="19.5" customHeight="1">
      <c r="B72" s="135"/>
      <c r="C72" s="200">
        <f>+F50</f>
        <v>360</v>
      </c>
      <c r="D72" s="201"/>
      <c r="E72" s="202"/>
      <c r="F72" s="136">
        <f>(F40+F29)/2</f>
        <v>224.11819589286097</v>
      </c>
      <c r="G72" s="28"/>
      <c r="H72" s="28"/>
      <c r="I72" s="28"/>
      <c r="J72" s="28"/>
    </row>
    <row r="73" spans="2:10" ht="19.5" customHeight="1">
      <c r="B73" s="135"/>
      <c r="C73" s="200" t="s">
        <v>38</v>
      </c>
      <c r="D73" s="201"/>
      <c r="E73" s="202"/>
      <c r="F73" s="137">
        <f>+F58</f>
        <v>0.017281541594652994</v>
      </c>
      <c r="G73" s="28"/>
      <c r="H73" s="28"/>
      <c r="I73" s="28"/>
      <c r="J73" s="28"/>
    </row>
    <row r="74" spans="2:8" ht="19.5" customHeight="1">
      <c r="B74" s="246" t="s">
        <v>60</v>
      </c>
      <c r="C74" s="247"/>
      <c r="D74" s="247"/>
      <c r="E74" s="247"/>
      <c r="F74" s="248"/>
      <c r="G74" s="1"/>
      <c r="H74" s="1"/>
    </row>
    <row r="75" spans="7:8" ht="12.75" hidden="1">
      <c r="G75" s="7"/>
      <c r="H75" s="1"/>
    </row>
    <row r="76" spans="7:9" ht="12.75" hidden="1">
      <c r="G76" s="1"/>
      <c r="H76" s="1"/>
      <c r="I76" s="1">
        <f>MAX(I77:I434)</f>
        <v>229</v>
      </c>
    </row>
    <row r="77" spans="2:9" ht="12.75" hidden="1">
      <c r="B77" s="1">
        <v>1</v>
      </c>
      <c r="C77" s="21">
        <f aca="true" t="shared" si="0" ref="C77:C140">($F$25/12)*POWER((($F$25/12)+1),B77)/(POWER((($F$25/12)+1),B77)-1)*$F$27</f>
        <v>41188.21199999996</v>
      </c>
      <c r="D77" s="14">
        <f>IF($F$50-B77=0,1,$F$50-B77)</f>
        <v>359</v>
      </c>
      <c r="E77" s="15">
        <f>(2%/12)*POWER(((2%/12)+1),D77)/(POWER(((2%/12)+1),D77)-1)*(($E$11+$E$12)+((POWER((1+1/100),(($C$28*12+B77)/12))-1)*($E$11+$E$12)))</f>
        <v>80.8738694067984</v>
      </c>
      <c r="F77" s="11">
        <f aca="true" t="shared" si="1" ref="F77:F140">C77-E77</f>
        <v>41107.33813059316</v>
      </c>
      <c r="G77" s="12">
        <f>F77*F77</f>
        <v>1689813248.1829185</v>
      </c>
      <c r="H77" s="13">
        <f>MIN($G$77:$G$434)</f>
        <v>0.17111195810048238</v>
      </c>
      <c r="I77" s="12">
        <f>IF(G77=H77,B77,0)</f>
        <v>0</v>
      </c>
    </row>
    <row r="78" spans="2:9" ht="12.75" hidden="1">
      <c r="B78" s="1">
        <v>2</v>
      </c>
      <c r="C78" s="21">
        <f t="shared" si="0"/>
        <v>20614.679532468064</v>
      </c>
      <c r="D78" s="14">
        <f aca="true" t="shared" si="2" ref="D78:D141">IF($F$50-B78=0,1,$F$50-B78)</f>
        <v>358</v>
      </c>
      <c r="E78" s="15">
        <f aca="true" t="shared" si="3" ref="E78:E141">(2%/12)*POWER(((2%/12)+1),D78)/(POWER(((2%/12)+1),D78)-1)*(($E$11+$E$12)+((POWER((1+1/100),(($C$28*12+B78)/12))-1)*($E$11+$E$12)))</f>
        <v>81.10617427827228</v>
      </c>
      <c r="F78" s="11">
        <f t="shared" si="1"/>
        <v>20533.57335818979</v>
      </c>
      <c r="G78" s="12">
        <f aca="true" t="shared" si="4" ref="G78:G141">F78*F78</f>
        <v>421627634.8561616</v>
      </c>
      <c r="H78" s="13">
        <f aca="true" t="shared" si="5" ref="H78:H141">MIN($G$77:$G$434)</f>
        <v>0.17111195810048238</v>
      </c>
      <c r="I78" s="12">
        <f aca="true" t="shared" si="6" ref="I78:I141">IF(G78=H78,B78,0)</f>
        <v>0</v>
      </c>
    </row>
    <row r="79" spans="2:9" ht="12.75" hidden="1">
      <c r="B79" s="1">
        <v>3</v>
      </c>
      <c r="C79" s="21">
        <f t="shared" si="0"/>
        <v>13756.844502152582</v>
      </c>
      <c r="D79" s="14">
        <f t="shared" si="2"/>
        <v>357</v>
      </c>
      <c r="E79" s="15">
        <f t="shared" si="3"/>
        <v>81.33976261617728</v>
      </c>
      <c r="F79" s="11">
        <f t="shared" si="1"/>
        <v>13675.504739536405</v>
      </c>
      <c r="G79" s="12">
        <f t="shared" si="4"/>
        <v>187019429.88108268</v>
      </c>
      <c r="H79" s="13">
        <f t="shared" si="5"/>
        <v>0.17111195810048238</v>
      </c>
      <c r="I79" s="12">
        <f t="shared" si="6"/>
        <v>0</v>
      </c>
    </row>
    <row r="80" spans="2:9" ht="12.75" hidden="1">
      <c r="B80" s="1">
        <v>4</v>
      </c>
      <c r="C80" s="21">
        <f t="shared" si="0"/>
        <v>10327.933831127999</v>
      </c>
      <c r="D80" s="14">
        <f t="shared" si="2"/>
        <v>356</v>
      </c>
      <c r="E80" s="15">
        <f t="shared" si="3"/>
        <v>81.57464523009254</v>
      </c>
      <c r="F80" s="11">
        <f t="shared" si="1"/>
        <v>10246.359185897907</v>
      </c>
      <c r="G80" s="12">
        <f t="shared" si="4"/>
        <v>104987876.56643443</v>
      </c>
      <c r="H80" s="13">
        <f t="shared" si="5"/>
        <v>0.17111195810048238</v>
      </c>
      <c r="I80" s="12">
        <f t="shared" si="6"/>
        <v>0</v>
      </c>
    </row>
    <row r="81" spans="2:9" ht="12.75" hidden="1">
      <c r="B81" s="1">
        <v>5</v>
      </c>
      <c r="C81" s="21">
        <f t="shared" si="0"/>
        <v>8270.592903804312</v>
      </c>
      <c r="D81" s="14">
        <f t="shared" si="2"/>
        <v>355</v>
      </c>
      <c r="E81" s="15">
        <f t="shared" si="3"/>
        <v>81.81083305141146</v>
      </c>
      <c r="F81" s="11">
        <f t="shared" si="1"/>
        <v>8188.782070752901</v>
      </c>
      <c r="G81" s="12">
        <f t="shared" si="4"/>
        <v>67056151.802284166</v>
      </c>
      <c r="H81" s="13">
        <f t="shared" si="5"/>
        <v>0.17111195810048238</v>
      </c>
      <c r="I81" s="12">
        <f t="shared" si="6"/>
        <v>0</v>
      </c>
    </row>
    <row r="82" spans="2:9" ht="12.75" hidden="1">
      <c r="B82" s="1">
        <v>6</v>
      </c>
      <c r="C82" s="21">
        <f t="shared" si="0"/>
        <v>6899.036848315028</v>
      </c>
      <c r="D82" s="14">
        <f t="shared" si="2"/>
        <v>354</v>
      </c>
      <c r="E82" s="15">
        <f t="shared" si="3"/>
        <v>82.0483371350622</v>
      </c>
      <c r="F82" s="11">
        <f t="shared" si="1"/>
        <v>6816.988511179966</v>
      </c>
      <c r="G82" s="12">
        <f t="shared" si="4"/>
        <v>46471332.361559644</v>
      </c>
      <c r="H82" s="13">
        <f t="shared" si="5"/>
        <v>0.17111195810048238</v>
      </c>
      <c r="I82" s="12">
        <f t="shared" si="6"/>
        <v>0</v>
      </c>
    </row>
    <row r="83" spans="2:9" ht="12.75" hidden="1">
      <c r="B83" s="1">
        <v>7</v>
      </c>
      <c r="C83" s="21">
        <f t="shared" si="0"/>
        <v>5919.357862427784</v>
      </c>
      <c r="D83" s="14">
        <f t="shared" si="2"/>
        <v>353</v>
      </c>
      <c r="E83" s="15">
        <f t="shared" si="3"/>
        <v>82.28716866125762</v>
      </c>
      <c r="F83" s="11">
        <f t="shared" si="1"/>
        <v>5837.070693766526</v>
      </c>
      <c r="G83" s="12">
        <f t="shared" si="4"/>
        <v>34071394.28402804</v>
      </c>
      <c r="H83" s="13">
        <f t="shared" si="5"/>
        <v>0.17111195810048238</v>
      </c>
      <c r="I83" s="12">
        <f t="shared" si="6"/>
        <v>0</v>
      </c>
    </row>
    <row r="84" spans="2:9" ht="12.75" hidden="1">
      <c r="B84" s="1">
        <v>8</v>
      </c>
      <c r="C84" s="21">
        <f t="shared" si="0"/>
        <v>5184.602045024269</v>
      </c>
      <c r="D84" s="14">
        <f t="shared" si="2"/>
        <v>352</v>
      </c>
      <c r="E84" s="15">
        <f t="shared" si="3"/>
        <v>82.52733893727483</v>
      </c>
      <c r="F84" s="11">
        <f t="shared" si="1"/>
        <v>5102.0747060869935</v>
      </c>
      <c r="G84" s="12">
        <f t="shared" si="4"/>
        <v>26031166.306492683</v>
      </c>
      <c r="H84" s="13">
        <f t="shared" si="5"/>
        <v>0.17111195810048238</v>
      </c>
      <c r="I84" s="12">
        <f t="shared" si="6"/>
        <v>0</v>
      </c>
    </row>
    <row r="85" spans="2:9" ht="12.75" hidden="1">
      <c r="B85" s="1">
        <v>9</v>
      </c>
      <c r="C85" s="21">
        <f t="shared" si="0"/>
        <v>4613.128339925026</v>
      </c>
      <c r="D85" s="14">
        <f t="shared" si="2"/>
        <v>351</v>
      </c>
      <c r="E85" s="15">
        <f t="shared" si="3"/>
        <v>82.76885939926528</v>
      </c>
      <c r="F85" s="11">
        <f t="shared" si="1"/>
        <v>4530.359480525761</v>
      </c>
      <c r="G85" s="12">
        <f t="shared" si="4"/>
        <v>20524157.022789642</v>
      </c>
      <c r="H85" s="13">
        <f t="shared" si="5"/>
        <v>0.17111195810048238</v>
      </c>
      <c r="I85" s="12">
        <f t="shared" si="6"/>
        <v>0</v>
      </c>
    </row>
    <row r="86" spans="2:9" ht="12.75" hidden="1">
      <c r="B86" s="1">
        <v>10</v>
      </c>
      <c r="C86" s="21">
        <f t="shared" si="0"/>
        <v>4155.95211342022</v>
      </c>
      <c r="D86" s="14">
        <f t="shared" si="2"/>
        <v>350</v>
      </c>
      <c r="E86" s="15">
        <f t="shared" si="3"/>
        <v>83.01174161409573</v>
      </c>
      <c r="F86" s="11">
        <f t="shared" si="1"/>
        <v>4072.940371806124</v>
      </c>
      <c r="G86" s="12">
        <f t="shared" si="4"/>
        <v>16588843.272288207</v>
      </c>
      <c r="H86" s="13">
        <f t="shared" si="5"/>
        <v>0.17111195810048238</v>
      </c>
      <c r="I86" s="12">
        <f t="shared" si="6"/>
        <v>0</v>
      </c>
    </row>
    <row r="87" spans="2:9" ht="12.75" hidden="1">
      <c r="B87" s="1">
        <v>11</v>
      </c>
      <c r="C87" s="21">
        <f t="shared" si="0"/>
        <v>3781.9013258742307</v>
      </c>
      <c r="D87" s="14">
        <f t="shared" si="2"/>
        <v>349</v>
      </c>
      <c r="E87" s="15">
        <f t="shared" si="3"/>
        <v>83.25599728122104</v>
      </c>
      <c r="F87" s="11">
        <f t="shared" si="1"/>
        <v>3698.6453285930097</v>
      </c>
      <c r="G87" s="12">
        <f t="shared" si="4"/>
        <v>13679977.266722893</v>
      </c>
      <c r="H87" s="13">
        <f t="shared" si="5"/>
        <v>0.17111195810048238</v>
      </c>
      <c r="I87" s="12">
        <f t="shared" si="6"/>
        <v>0</v>
      </c>
    </row>
    <row r="88" spans="2:9" ht="12.75" hidden="1">
      <c r="B88" s="1">
        <v>12</v>
      </c>
      <c r="C88" s="21">
        <f t="shared" si="0"/>
        <v>3470.1946175282646</v>
      </c>
      <c r="D88" s="14">
        <f t="shared" si="2"/>
        <v>348</v>
      </c>
      <c r="E88" s="15">
        <f t="shared" si="3"/>
        <v>83.50163823458931</v>
      </c>
      <c r="F88" s="11">
        <f t="shared" si="1"/>
        <v>3386.6929792936753</v>
      </c>
      <c r="G88" s="12">
        <f t="shared" si="4"/>
        <v>11469689.335997071</v>
      </c>
      <c r="H88" s="13">
        <f t="shared" si="5"/>
        <v>0.17111195810048238</v>
      </c>
      <c r="I88" s="12">
        <f t="shared" si="6"/>
        <v>0</v>
      </c>
    </row>
    <row r="89" spans="2:9" ht="12.75" hidden="1">
      <c r="B89" s="1">
        <v>13</v>
      </c>
      <c r="C89" s="21">
        <f t="shared" si="0"/>
        <v>3206.4448931629777</v>
      </c>
      <c r="D89" s="14">
        <f t="shared" si="2"/>
        <v>347</v>
      </c>
      <c r="E89" s="15">
        <f t="shared" si="3"/>
        <v>83.74867644457962</v>
      </c>
      <c r="F89" s="11">
        <f t="shared" si="1"/>
        <v>3122.696216718398</v>
      </c>
      <c r="G89" s="12">
        <f t="shared" si="4"/>
        <v>9751231.661907395</v>
      </c>
      <c r="H89" s="13">
        <f t="shared" si="5"/>
        <v>0.17111195810048238</v>
      </c>
      <c r="I89" s="12">
        <f t="shared" si="6"/>
        <v>0</v>
      </c>
    </row>
    <row r="90" spans="2:9" ht="12.75" hidden="1">
      <c r="B90" s="1">
        <v>14</v>
      </c>
      <c r="C90" s="21">
        <f t="shared" si="0"/>
        <v>2980.3756561916293</v>
      </c>
      <c r="D90" s="14">
        <f t="shared" si="2"/>
        <v>346</v>
      </c>
      <c r="E90" s="15">
        <f t="shared" si="3"/>
        <v>83.9971240199737</v>
      </c>
      <c r="F90" s="11">
        <f t="shared" si="1"/>
        <v>2896.3785321716555</v>
      </c>
      <c r="G90" s="12">
        <f t="shared" si="4"/>
        <v>8389008.601624833</v>
      </c>
      <c r="H90" s="13">
        <f t="shared" si="5"/>
        <v>0.17111195810048238</v>
      </c>
      <c r="I90" s="12">
        <f t="shared" si="6"/>
        <v>0</v>
      </c>
    </row>
    <row r="91" spans="2:9" ht="12.75" hidden="1">
      <c r="B91" s="1">
        <v>15</v>
      </c>
      <c r="C91" s="21">
        <f t="shared" si="0"/>
        <v>2784.450809115641</v>
      </c>
      <c r="D91" s="14">
        <f t="shared" si="2"/>
        <v>345</v>
      </c>
      <c r="E91" s="15">
        <f t="shared" si="3"/>
        <v>84.24699320996177</v>
      </c>
      <c r="F91" s="11">
        <f t="shared" si="1"/>
        <v>2700.203815905679</v>
      </c>
      <c r="G91" s="12">
        <f t="shared" si="4"/>
        <v>7291100.6474315915</v>
      </c>
      <c r="H91" s="13">
        <f t="shared" si="5"/>
        <v>0.17111195810048238</v>
      </c>
      <c r="I91" s="12">
        <f t="shared" si="6"/>
        <v>0</v>
      </c>
    </row>
    <row r="92" spans="2:9" ht="12.75" hidden="1">
      <c r="B92" s="1">
        <v>16</v>
      </c>
      <c r="C92" s="21">
        <f t="shared" si="0"/>
        <v>2613.018278809917</v>
      </c>
      <c r="D92" s="14">
        <f t="shared" si="2"/>
        <v>344</v>
      </c>
      <c r="E92" s="15">
        <f t="shared" si="3"/>
        <v>84.49829640618333</v>
      </c>
      <c r="F92" s="11">
        <f t="shared" si="1"/>
        <v>2528.5199824037336</v>
      </c>
      <c r="G92" s="12">
        <f t="shared" si="4"/>
        <v>6393413.301414977</v>
      </c>
      <c r="H92" s="13">
        <f t="shared" si="5"/>
        <v>0.17111195810048238</v>
      </c>
      <c r="I92" s="12">
        <f t="shared" si="6"/>
        <v>0</v>
      </c>
    </row>
    <row r="93" spans="2:9" ht="12.75" hidden="1">
      <c r="B93" s="1">
        <v>17</v>
      </c>
      <c r="C93" s="21">
        <f t="shared" si="0"/>
        <v>2461.7558917068072</v>
      </c>
      <c r="D93" s="14">
        <f t="shared" si="2"/>
        <v>343</v>
      </c>
      <c r="E93" s="15">
        <f t="shared" si="3"/>
        <v>84.75104614480388</v>
      </c>
      <c r="F93" s="11">
        <f t="shared" si="1"/>
        <v>2377.0048455620035</v>
      </c>
      <c r="G93" s="12">
        <f t="shared" si="4"/>
        <v>5650152.035825244</v>
      </c>
      <c r="H93" s="13">
        <f t="shared" si="5"/>
        <v>0.17111195810048238</v>
      </c>
      <c r="I93" s="12">
        <f t="shared" si="6"/>
        <v>0</v>
      </c>
    </row>
    <row r="94" spans="2:9" ht="12.75" hidden="1">
      <c r="B94" s="1">
        <v>18</v>
      </c>
      <c r="C94" s="21">
        <f t="shared" si="0"/>
        <v>2327.3019572525222</v>
      </c>
      <c r="D94" s="14">
        <f t="shared" si="2"/>
        <v>342</v>
      </c>
      <c r="E94" s="15">
        <f t="shared" si="3"/>
        <v>85.00525510862758</v>
      </c>
      <c r="F94" s="11">
        <f t="shared" si="1"/>
        <v>2242.2967021438944</v>
      </c>
      <c r="G94" s="12">
        <f t="shared" si="4"/>
        <v>5027894.5004453845</v>
      </c>
      <c r="H94" s="13">
        <f t="shared" si="5"/>
        <v>0.17111195810048238</v>
      </c>
      <c r="I94" s="12">
        <f t="shared" si="6"/>
        <v>0</v>
      </c>
    </row>
    <row r="95" spans="2:9" ht="12.75" hidden="1">
      <c r="B95" s="1">
        <v>19</v>
      </c>
      <c r="C95" s="21">
        <f t="shared" si="0"/>
        <v>2207.002509219208</v>
      </c>
      <c r="D95" s="14">
        <f t="shared" si="2"/>
        <v>341</v>
      </c>
      <c r="E95" s="15">
        <f t="shared" si="3"/>
        <v>85.26093612924754</v>
      </c>
      <c r="F95" s="11">
        <f t="shared" si="1"/>
        <v>2121.7415730899606</v>
      </c>
      <c r="G95" s="12">
        <f t="shared" si="4"/>
        <v>4501787.30297826</v>
      </c>
      <c r="H95" s="13">
        <f t="shared" si="5"/>
        <v>0.17111195810048238</v>
      </c>
      <c r="I95" s="12">
        <f t="shared" si="6"/>
        <v>0</v>
      </c>
    </row>
    <row r="96" spans="2:9" ht="12.75" hidden="1">
      <c r="B96" s="1">
        <v>20</v>
      </c>
      <c r="C96" s="21">
        <f t="shared" si="0"/>
        <v>2098.734374623507</v>
      </c>
      <c r="D96" s="14">
        <f t="shared" si="2"/>
        <v>340</v>
      </c>
      <c r="E96" s="15">
        <f t="shared" si="3"/>
        <v>85.51810218923414</v>
      </c>
      <c r="F96" s="11">
        <f t="shared" si="1"/>
        <v>2013.2162724342727</v>
      </c>
      <c r="G96" s="12">
        <f t="shared" si="4"/>
        <v>4053039.7595941476</v>
      </c>
      <c r="H96" s="13">
        <f t="shared" si="5"/>
        <v>0.17111195810048238</v>
      </c>
      <c r="I96" s="12">
        <f t="shared" si="6"/>
        <v>0</v>
      </c>
    </row>
    <row r="97" spans="2:9" ht="12.75" hidden="1">
      <c r="B97" s="1">
        <v>21</v>
      </c>
      <c r="C97" s="21">
        <f t="shared" si="0"/>
        <v>2000.7787943826136</v>
      </c>
      <c r="D97" s="14">
        <f t="shared" si="2"/>
        <v>339</v>
      </c>
      <c r="E97" s="15">
        <f t="shared" si="3"/>
        <v>85.77676642436131</v>
      </c>
      <c r="F97" s="11">
        <f t="shared" si="1"/>
        <v>1915.0020279582523</v>
      </c>
      <c r="G97" s="12">
        <f t="shared" si="4"/>
        <v>3667232.7670842186</v>
      </c>
      <c r="H97" s="13">
        <f t="shared" si="5"/>
        <v>0.17111195810048238</v>
      </c>
      <c r="I97" s="12">
        <f t="shared" si="6"/>
        <v>0</v>
      </c>
    </row>
    <row r="98" spans="2:9" ht="12.75" hidden="1">
      <c r="B98" s="1">
        <v>22</v>
      </c>
      <c r="C98" s="21">
        <f t="shared" si="0"/>
        <v>1911.7295110641596</v>
      </c>
      <c r="D98" s="14">
        <f t="shared" si="2"/>
        <v>338</v>
      </c>
      <c r="E98" s="15">
        <f t="shared" si="3"/>
        <v>86.03694212587342</v>
      </c>
      <c r="F98" s="11">
        <f t="shared" si="1"/>
        <v>1825.6925689382863</v>
      </c>
      <c r="G98" s="12">
        <f t="shared" si="4"/>
        <v>3333153.356276479</v>
      </c>
      <c r="H98" s="13">
        <f t="shared" si="5"/>
        <v>0.17111195810048238</v>
      </c>
      <c r="I98" s="12">
        <f t="shared" si="6"/>
        <v>0</v>
      </c>
    </row>
    <row r="99" spans="2:9" ht="12.75" hidden="1">
      <c r="B99" s="1">
        <v>23</v>
      </c>
      <c r="C99" s="21">
        <f t="shared" si="0"/>
        <v>1830.4248337447657</v>
      </c>
      <c r="D99" s="14">
        <f t="shared" si="2"/>
        <v>337</v>
      </c>
      <c r="E99" s="15">
        <f t="shared" si="3"/>
        <v>86.29864274279163</v>
      </c>
      <c r="F99" s="11">
        <f t="shared" si="1"/>
        <v>1744.1261910019741</v>
      </c>
      <c r="G99" s="12">
        <f t="shared" si="4"/>
        <v>3041976.170139055</v>
      </c>
      <c r="H99" s="13">
        <f t="shared" si="5"/>
        <v>0.17111195810048238</v>
      </c>
      <c r="I99" s="12">
        <f t="shared" si="6"/>
        <v>0</v>
      </c>
    </row>
    <row r="100" spans="2:9" ht="12.75" hidden="1">
      <c r="B100" s="1">
        <v>24</v>
      </c>
      <c r="C100" s="21">
        <f t="shared" si="0"/>
        <v>1755.896686654075</v>
      </c>
      <c r="D100" s="14">
        <f t="shared" si="2"/>
        <v>336</v>
      </c>
      <c r="E100" s="15">
        <f t="shared" si="3"/>
        <v>86.56188188426185</v>
      </c>
      <c r="F100" s="11">
        <f t="shared" si="1"/>
        <v>1669.3348047698132</v>
      </c>
      <c r="G100" s="12">
        <f t="shared" si="4"/>
        <v>2786678.6904158704</v>
      </c>
      <c r="H100" s="13">
        <f t="shared" si="5"/>
        <v>0.17111195810048238</v>
      </c>
      <c r="I100" s="12">
        <f t="shared" si="6"/>
        <v>0</v>
      </c>
    </row>
    <row r="101" spans="2:9" ht="12.75" hidden="1">
      <c r="B101" s="1">
        <v>25</v>
      </c>
      <c r="C101" s="21">
        <f t="shared" si="0"/>
        <v>1687.3318861440944</v>
      </c>
      <c r="D101" s="14">
        <f t="shared" si="2"/>
        <v>335</v>
      </c>
      <c r="E101" s="15">
        <f t="shared" si="3"/>
        <v>86.82667332194485</v>
      </c>
      <c r="F101" s="11">
        <f t="shared" si="1"/>
        <v>1600.5052128221496</v>
      </c>
      <c r="G101" s="12">
        <f t="shared" si="4"/>
        <v>2561616.9362708745</v>
      </c>
      <c r="H101" s="13">
        <f t="shared" si="5"/>
        <v>0.17111195810048238</v>
      </c>
      <c r="I101" s="12">
        <f t="shared" si="6"/>
        <v>0</v>
      </c>
    </row>
    <row r="102" spans="2:9" ht="12.75" hidden="1">
      <c r="B102" s="1">
        <v>26</v>
      </c>
      <c r="C102" s="21">
        <f t="shared" si="0"/>
        <v>1624.0423537426352</v>
      </c>
      <c r="D102" s="14">
        <f t="shared" si="2"/>
        <v>334</v>
      </c>
      <c r="E102" s="15">
        <f t="shared" si="3"/>
        <v>87.0930309924488</v>
      </c>
      <c r="F102" s="11">
        <f t="shared" si="1"/>
        <v>1536.9493227501864</v>
      </c>
      <c r="G102" s="12">
        <f t="shared" si="4"/>
        <v>2362213.2207022565</v>
      </c>
      <c r="H102" s="13">
        <f t="shared" si="5"/>
        <v>0.17111195810048238</v>
      </c>
      <c r="I102" s="12">
        <f t="shared" si="6"/>
        <v>0</v>
      </c>
    </row>
    <row r="103" spans="2:9" ht="12.75" hidden="1">
      <c r="B103" s="1">
        <v>27</v>
      </c>
      <c r="C103" s="21">
        <f t="shared" si="0"/>
        <v>1565.4419485280862</v>
      </c>
      <c r="D103" s="14">
        <f t="shared" si="2"/>
        <v>333</v>
      </c>
      <c r="E103" s="15">
        <f t="shared" si="3"/>
        <v>87.36096899980629</v>
      </c>
      <c r="F103" s="11">
        <f t="shared" si="1"/>
        <v>1478.0809795282798</v>
      </c>
      <c r="G103" s="12">
        <f t="shared" si="4"/>
        <v>2184723.3820432792</v>
      </c>
      <c r="H103" s="13">
        <f t="shared" si="5"/>
        <v>0.17111195810048238</v>
      </c>
      <c r="I103" s="12">
        <f t="shared" si="6"/>
        <v>0</v>
      </c>
    </row>
    <row r="104" spans="2:9" ht="12.75" hidden="1">
      <c r="B104" s="1">
        <v>28</v>
      </c>
      <c r="C104" s="21">
        <f t="shared" si="0"/>
        <v>1511.0282639954721</v>
      </c>
      <c r="D104" s="14">
        <f t="shared" si="2"/>
        <v>332</v>
      </c>
      <c r="E104" s="15">
        <f t="shared" si="3"/>
        <v>87.6305016179956</v>
      </c>
      <c r="F104" s="11">
        <f t="shared" si="1"/>
        <v>1423.3977623774765</v>
      </c>
      <c r="G104" s="12">
        <f t="shared" si="4"/>
        <v>2026061.1899412072</v>
      </c>
      <c r="H104" s="13">
        <f t="shared" si="5"/>
        <v>0.17111195810048238</v>
      </c>
      <c r="I104" s="12">
        <f t="shared" si="6"/>
        <v>0</v>
      </c>
    </row>
    <row r="105" spans="2:9" ht="12.75" hidden="1">
      <c r="B105" s="1">
        <v>29</v>
      </c>
      <c r="C105" s="21">
        <f t="shared" si="0"/>
        <v>1460.368191088001</v>
      </c>
      <c r="D105" s="14">
        <f t="shared" si="2"/>
        <v>331</v>
      </c>
      <c r="E105" s="15">
        <f t="shared" si="3"/>
        <v>87.90164329350792</v>
      </c>
      <c r="F105" s="11">
        <f t="shared" si="1"/>
        <v>1372.466547794493</v>
      </c>
      <c r="G105" s="12">
        <f t="shared" si="4"/>
        <v>1883664.4248149332</v>
      </c>
      <c r="H105" s="13">
        <f t="shared" si="5"/>
        <v>0.17111195810048238</v>
      </c>
      <c r="I105" s="12">
        <f t="shared" si="6"/>
        <v>0</v>
      </c>
    </row>
    <row r="106" spans="2:9" ht="12.75" hidden="1">
      <c r="B106" s="1">
        <v>30</v>
      </c>
      <c r="C106" s="21">
        <f t="shared" si="0"/>
        <v>1413.086368622424</v>
      </c>
      <c r="D106" s="14">
        <f t="shared" si="2"/>
        <v>330</v>
      </c>
      <c r="E106" s="15">
        <f t="shared" si="3"/>
        <v>88.17440864796124</v>
      </c>
      <c r="F106" s="11">
        <f t="shared" si="1"/>
        <v>1324.911959974463</v>
      </c>
      <c r="G106" s="12">
        <f t="shared" si="4"/>
        <v>1755391.7016833727</v>
      </c>
      <c r="H106" s="13">
        <f t="shared" si="5"/>
        <v>0.17111195810048238</v>
      </c>
      <c r="I106" s="12">
        <f t="shared" si="6"/>
        <v>0</v>
      </c>
    </row>
    <row r="107" spans="2:9" ht="12.75" hidden="1">
      <c r="B107" s="1">
        <v>31</v>
      </c>
      <c r="C107" s="21">
        <f t="shared" si="0"/>
        <v>1368.8558691157962</v>
      </c>
      <c r="D107" s="14">
        <f t="shared" si="2"/>
        <v>329</v>
      </c>
      <c r="E107" s="15">
        <f t="shared" si="3"/>
        <v>88.44881248076183</v>
      </c>
      <c r="F107" s="11">
        <f t="shared" si="1"/>
        <v>1280.4070566350342</v>
      </c>
      <c r="G107" s="12">
        <f t="shared" si="4"/>
        <v>1639442.2306807917</v>
      </c>
      <c r="H107" s="13">
        <f t="shared" si="5"/>
        <v>0.17111195810048238</v>
      </c>
      <c r="I107" s="12">
        <f t="shared" si="6"/>
        <v>0</v>
      </c>
    </row>
    <row r="108" spans="2:9" ht="12.75" hidden="1">
      <c r="B108" s="1">
        <v>32</v>
      </c>
      <c r="C108" s="21">
        <f t="shared" si="0"/>
        <v>1327.390631019919</v>
      </c>
      <c r="D108" s="14">
        <f t="shared" si="2"/>
        <v>328</v>
      </c>
      <c r="E108" s="15">
        <f t="shared" si="3"/>
        <v>88.72486977181441</v>
      </c>
      <c r="F108" s="11">
        <f t="shared" si="1"/>
        <v>1238.6657612481047</v>
      </c>
      <c r="G108" s="12">
        <f t="shared" si="4"/>
        <v>1534292.8680883467</v>
      </c>
      <c r="H108" s="13">
        <f t="shared" si="5"/>
        <v>0.17111195810048238</v>
      </c>
      <c r="I108" s="12">
        <f t="shared" si="6"/>
        <v>0</v>
      </c>
    </row>
    <row r="109" spans="2:9" ht="12.75" hidden="1">
      <c r="B109" s="1">
        <v>33</v>
      </c>
      <c r="C109" s="21">
        <f t="shared" si="0"/>
        <v>1288.4392669129527</v>
      </c>
      <c r="D109" s="14">
        <f t="shared" si="2"/>
        <v>327</v>
      </c>
      <c r="E109" s="15">
        <f t="shared" si="3"/>
        <v>89.00259568428211</v>
      </c>
      <c r="F109" s="11">
        <f t="shared" si="1"/>
        <v>1199.4366712286705</v>
      </c>
      <c r="G109" s="12">
        <f t="shared" si="4"/>
        <v>1438648.328288114</v>
      </c>
      <c r="H109" s="13">
        <f t="shared" si="5"/>
        <v>0.17111195810048238</v>
      </c>
      <c r="I109" s="12">
        <f t="shared" si="6"/>
        <v>0</v>
      </c>
    </row>
    <row r="110" spans="2:9" ht="12.75" hidden="1">
      <c r="B110" s="1">
        <v>34</v>
      </c>
      <c r="C110" s="21">
        <f t="shared" si="0"/>
        <v>1251.7799643632284</v>
      </c>
      <c r="D110" s="14">
        <f t="shared" si="2"/>
        <v>326</v>
      </c>
      <c r="E110" s="15">
        <f t="shared" si="3"/>
        <v>89.28200556739722</v>
      </c>
      <c r="F110" s="11">
        <f t="shared" si="1"/>
        <v>1162.4979587958312</v>
      </c>
      <c r="G110" s="12">
        <f t="shared" si="4"/>
        <v>1351401.5042044742</v>
      </c>
      <c r="H110" s="13">
        <f t="shared" si="5"/>
        <v>0.17111195810048238</v>
      </c>
      <c r="I110" s="12">
        <f t="shared" si="6"/>
        <v>0</v>
      </c>
    </row>
    <row r="111" spans="2:9" ht="12.75" hidden="1">
      <c r="B111" s="1">
        <v>35</v>
      </c>
      <c r="C111" s="21">
        <f t="shared" si="0"/>
        <v>1217.2162609306426</v>
      </c>
      <c r="D111" s="14">
        <f t="shared" si="2"/>
        <v>325</v>
      </c>
      <c r="E111" s="15">
        <f t="shared" si="3"/>
        <v>89.56311495932374</v>
      </c>
      <c r="F111" s="11">
        <f t="shared" si="1"/>
        <v>1127.653145971319</v>
      </c>
      <c r="G111" s="12">
        <f t="shared" si="4"/>
        <v>1271601.6176190127</v>
      </c>
      <c r="H111" s="13">
        <f t="shared" si="5"/>
        <v>0.17111195810048238</v>
      </c>
      <c r="I111" s="12">
        <f t="shared" si="6"/>
        <v>0</v>
      </c>
    </row>
    <row r="112" spans="2:9" ht="12.75" hidden="1">
      <c r="B112" s="1">
        <v>36</v>
      </c>
      <c r="C112" s="21">
        <f t="shared" si="0"/>
        <v>1184.573523334499</v>
      </c>
      <c r="D112" s="14">
        <f t="shared" si="2"/>
        <v>324</v>
      </c>
      <c r="E112" s="15">
        <f t="shared" si="3"/>
        <v>89.84593959007307</v>
      </c>
      <c r="F112" s="11">
        <f t="shared" si="1"/>
        <v>1094.7275837444258</v>
      </c>
      <c r="G112" s="12">
        <f t="shared" si="4"/>
        <v>1198428.4826109088</v>
      </c>
      <c r="H112" s="13">
        <f t="shared" si="5"/>
        <v>0.17111195810048238</v>
      </c>
      <c r="I112" s="12">
        <f t="shared" si="6"/>
        <v>0</v>
      </c>
    </row>
    <row r="113" spans="2:9" ht="12.75" hidden="1">
      <c r="B113" s="1">
        <v>37</v>
      </c>
      <c r="C113" s="21">
        <f t="shared" si="0"/>
        <v>1153.6959975671025</v>
      </c>
      <c r="D113" s="14">
        <f t="shared" si="2"/>
        <v>323</v>
      </c>
      <c r="E113" s="15">
        <f t="shared" si="3"/>
        <v>90.1304953844738</v>
      </c>
      <c r="F113" s="11">
        <f t="shared" si="1"/>
        <v>1063.5655021826287</v>
      </c>
      <c r="G113" s="12">
        <f t="shared" si="4"/>
        <v>1131171.5774329873</v>
      </c>
      <c r="H113" s="13">
        <f t="shared" si="5"/>
        <v>0.17111195810048238</v>
      </c>
      <c r="I113" s="12">
        <f t="shared" si="6"/>
        <v>0</v>
      </c>
    </row>
    <row r="114" spans="2:9" ht="12.75" hidden="1">
      <c r="B114" s="1">
        <v>38</v>
      </c>
      <c r="C114" s="21">
        <f t="shared" si="0"/>
        <v>1124.44432477889</v>
      </c>
      <c r="D114" s="14">
        <f t="shared" si="2"/>
        <v>322</v>
      </c>
      <c r="E114" s="15">
        <f t="shared" si="3"/>
        <v>90.41679846519678</v>
      </c>
      <c r="F114" s="11">
        <f t="shared" si="1"/>
        <v>1034.0275263136932</v>
      </c>
      <c r="G114" s="12">
        <f t="shared" si="4"/>
        <v>1069212.9251744156</v>
      </c>
      <c r="H114" s="13">
        <f t="shared" si="5"/>
        <v>0.17111195810048238</v>
      </c>
      <c r="I114" s="12">
        <f t="shared" si="6"/>
        <v>0</v>
      </c>
    </row>
    <row r="115" spans="2:9" ht="12.75" hidden="1">
      <c r="B115" s="1">
        <v>39</v>
      </c>
      <c r="C115" s="21">
        <f t="shared" si="0"/>
        <v>1096.693439335062</v>
      </c>
      <c r="D115" s="14">
        <f t="shared" si="2"/>
        <v>321</v>
      </c>
      <c r="E115" s="15">
        <f t="shared" si="3"/>
        <v>90.70486515583676</v>
      </c>
      <c r="F115" s="11">
        <f t="shared" si="1"/>
        <v>1005.9885741792253</v>
      </c>
      <c r="G115" s="12">
        <f t="shared" si="4"/>
        <v>1012013.0113791508</v>
      </c>
      <c r="H115" s="13">
        <f t="shared" si="5"/>
        <v>0.17111195810048238</v>
      </c>
      <c r="I115" s="12">
        <f t="shared" si="6"/>
        <v>0</v>
      </c>
    </row>
    <row r="116" spans="2:9" ht="12.75" hidden="1">
      <c r="B116" s="1">
        <v>40</v>
      </c>
      <c r="C116" s="21">
        <f t="shared" si="0"/>
        <v>1070.3307821637798</v>
      </c>
      <c r="D116" s="14">
        <f t="shared" si="2"/>
        <v>320</v>
      </c>
      <c r="E116" s="15">
        <f t="shared" si="3"/>
        <v>90.99471198405199</v>
      </c>
      <c r="F116" s="11">
        <f t="shared" si="1"/>
        <v>979.3360701797278</v>
      </c>
      <c r="G116" s="12">
        <f t="shared" si="4"/>
        <v>959099.1383550727</v>
      </c>
      <c r="H116" s="13">
        <f t="shared" si="5"/>
        <v>0.17111195810048238</v>
      </c>
      <c r="I116" s="12">
        <f t="shared" si="6"/>
        <v>0</v>
      </c>
    </row>
    <row r="117" spans="2:9" ht="12.75" hidden="1">
      <c r="B117" s="1">
        <v>41</v>
      </c>
      <c r="C117" s="21">
        <f t="shared" si="0"/>
        <v>1045.2547755655148</v>
      </c>
      <c r="D117" s="14">
        <f t="shared" si="2"/>
        <v>319</v>
      </c>
      <c r="E117" s="15">
        <f t="shared" si="3"/>
        <v>91.28635568476258</v>
      </c>
      <c r="F117" s="11">
        <f t="shared" si="1"/>
        <v>953.9684198807522</v>
      </c>
      <c r="G117" s="12">
        <f t="shared" si="4"/>
        <v>910055.7461297791</v>
      </c>
      <c r="H117" s="13">
        <f t="shared" si="5"/>
        <v>0.17111195810048238</v>
      </c>
      <c r="I117" s="12">
        <f t="shared" si="6"/>
        <v>0</v>
      </c>
    </row>
    <row r="118" spans="2:9" ht="12.75" hidden="1">
      <c r="B118" s="1">
        <v>42</v>
      </c>
      <c r="C118" s="21">
        <f t="shared" si="0"/>
        <v>1021.3735159068551</v>
      </c>
      <c r="D118" s="14">
        <f t="shared" si="2"/>
        <v>318</v>
      </c>
      <c r="E118" s="15">
        <f t="shared" si="3"/>
        <v>91.5798132034094</v>
      </c>
      <c r="F118" s="11">
        <f t="shared" si="1"/>
        <v>929.7937027034457</v>
      </c>
      <c r="G118" s="12">
        <f t="shared" si="4"/>
        <v>864516.3295869835</v>
      </c>
      <c r="H118" s="13">
        <f t="shared" si="5"/>
        <v>0.17111195810048238</v>
      </c>
      <c r="I118" s="12">
        <f t="shared" si="6"/>
        <v>0</v>
      </c>
    </row>
    <row r="119" spans="2:9" ht="12.75" hidden="1">
      <c r="B119" s="1">
        <v>43</v>
      </c>
      <c r="C119" s="21">
        <f t="shared" si="0"/>
        <v>998.6036487290684</v>
      </c>
      <c r="D119" s="14">
        <f t="shared" si="2"/>
        <v>317</v>
      </c>
      <c r="E119" s="15">
        <f t="shared" si="3"/>
        <v>91.87510169927455</v>
      </c>
      <c r="F119" s="11">
        <f t="shared" si="1"/>
        <v>906.7285470297938</v>
      </c>
      <c r="G119" s="12">
        <f t="shared" si="4"/>
        <v>822156.657998761</v>
      </c>
      <c r="H119" s="13">
        <f t="shared" si="5"/>
        <v>0.17111195810048238</v>
      </c>
      <c r="I119" s="12">
        <f t="shared" si="6"/>
        <v>0</v>
      </c>
    </row>
    <row r="120" spans="2:9" ht="12.75" hidden="1">
      <c r="B120" s="1">
        <v>44</v>
      </c>
      <c r="C120" s="21">
        <f t="shared" si="0"/>
        <v>976.8693972510044</v>
      </c>
      <c r="D120" s="14">
        <f t="shared" si="2"/>
        <v>316</v>
      </c>
      <c r="E120" s="15">
        <f t="shared" si="3"/>
        <v>92.1722385488651</v>
      </c>
      <c r="F120" s="11">
        <f t="shared" si="1"/>
        <v>884.6971587021394</v>
      </c>
      <c r="G120" s="12">
        <f t="shared" si="4"/>
        <v>782689.0626156385</v>
      </c>
      <c r="H120" s="13">
        <f t="shared" si="5"/>
        <v>0.17111195810048238</v>
      </c>
      <c r="I120" s="12">
        <f t="shared" si="6"/>
        <v>0</v>
      </c>
    </row>
    <row r="121" spans="2:9" ht="12.75" hidden="1">
      <c r="B121" s="1">
        <v>45</v>
      </c>
      <c r="C121" s="21">
        <f t="shared" si="0"/>
        <v>956.1017204049019</v>
      </c>
      <c r="D121" s="14">
        <f t="shared" si="2"/>
        <v>315</v>
      </c>
      <c r="E121" s="15">
        <f t="shared" si="3"/>
        <v>92.47124134936091</v>
      </c>
      <c r="F121" s="11">
        <f t="shared" si="1"/>
        <v>863.6304790555411</v>
      </c>
      <c r="G121" s="12">
        <f t="shared" si="4"/>
        <v>745857.6043537033</v>
      </c>
      <c r="H121" s="13">
        <f t="shared" si="5"/>
        <v>0.17111195810048238</v>
      </c>
      <c r="I121" s="12">
        <f t="shared" si="6"/>
        <v>0</v>
      </c>
    </row>
    <row r="122" spans="2:9" ht="12.75" hidden="1">
      <c r="B122" s="1">
        <v>46</v>
      </c>
      <c r="C122" s="21">
        <f t="shared" si="0"/>
        <v>936.2375806936484</v>
      </c>
      <c r="D122" s="14">
        <f t="shared" si="2"/>
        <v>314</v>
      </c>
      <c r="E122" s="15">
        <f t="shared" si="3"/>
        <v>92.77212792212867</v>
      </c>
      <c r="F122" s="11">
        <f t="shared" si="1"/>
        <v>843.4654527715197</v>
      </c>
      <c r="G122" s="12">
        <f t="shared" si="4"/>
        <v>711433.9700190647</v>
      </c>
      <c r="H122" s="13">
        <f t="shared" si="5"/>
        <v>0.17111195810048238</v>
      </c>
      <c r="I122" s="12">
        <f t="shared" si="6"/>
        <v>0</v>
      </c>
    </row>
    <row r="123" spans="2:9" ht="12.75" hidden="1">
      <c r="B123" s="1">
        <v>47</v>
      </c>
      <c r="C123" s="21">
        <f t="shared" si="0"/>
        <v>917.2193055130134</v>
      </c>
      <c r="D123" s="14">
        <f t="shared" si="2"/>
        <v>313</v>
      </c>
      <c r="E123" s="15">
        <f t="shared" si="3"/>
        <v>93.07491631630322</v>
      </c>
      <c r="F123" s="11">
        <f t="shared" si="1"/>
        <v>824.1443891967102</v>
      </c>
      <c r="G123" s="12">
        <f t="shared" si="4"/>
        <v>679213.9742444186</v>
      </c>
      <c r="H123" s="13">
        <f t="shared" si="5"/>
        <v>0.17111195810048238</v>
      </c>
      <c r="I123" s="12">
        <f t="shared" si="6"/>
        <v>0</v>
      </c>
    </row>
    <row r="124" spans="2:9" ht="12.75" hidden="1">
      <c r="B124" s="1">
        <v>48</v>
      </c>
      <c r="C124" s="21">
        <f t="shared" si="0"/>
        <v>898.9940283086943</v>
      </c>
      <c r="D124" s="14">
        <f t="shared" si="2"/>
        <v>312</v>
      </c>
      <c r="E124" s="15">
        <f t="shared" si="3"/>
        <v>93.37962481243746</v>
      </c>
      <c r="F124" s="11">
        <f t="shared" si="1"/>
        <v>805.6144034962568</v>
      </c>
      <c r="G124" s="12">
        <f t="shared" si="4"/>
        <v>649014.5671206297</v>
      </c>
      <c r="H124" s="13">
        <f t="shared" si="5"/>
        <v>0.17111195810048238</v>
      </c>
      <c r="I124" s="12">
        <f t="shared" si="6"/>
        <v>0</v>
      </c>
    </row>
    <row r="125" spans="2:9" ht="12.75" hidden="1">
      <c r="B125" s="1">
        <v>49</v>
      </c>
      <c r="C125" s="21">
        <f t="shared" si="0"/>
        <v>881.5131981630094</v>
      </c>
      <c r="D125" s="14">
        <f t="shared" si="2"/>
        <v>311</v>
      </c>
      <c r="E125" s="15">
        <f t="shared" si="3"/>
        <v>93.68627192622321</v>
      </c>
      <c r="F125" s="11">
        <f t="shared" si="1"/>
        <v>787.8269262367862</v>
      </c>
      <c r="G125" s="12">
        <f t="shared" si="4"/>
        <v>620671.2657037026</v>
      </c>
      <c r="H125" s="13">
        <f t="shared" si="5"/>
        <v>0.17111195810048238</v>
      </c>
      <c r="I125" s="12">
        <f t="shared" si="6"/>
        <v>0</v>
      </c>
    </row>
    <row r="126" spans="2:9" ht="12.75" hidden="1">
      <c r="B126" s="1">
        <v>50</v>
      </c>
      <c r="C126" s="21">
        <f t="shared" si="0"/>
        <v>864.7321482312641</v>
      </c>
      <c r="D126" s="14">
        <f t="shared" si="2"/>
        <v>310</v>
      </c>
      <c r="E126" s="15">
        <f t="shared" si="3"/>
        <v>93.99487641228359</v>
      </c>
      <c r="F126" s="11">
        <f t="shared" si="1"/>
        <v>770.7372718189805</v>
      </c>
      <c r="G126" s="12">
        <f t="shared" si="4"/>
        <v>594035.942170965</v>
      </c>
      <c r="H126" s="13">
        <f t="shared" si="5"/>
        <v>0.17111195810048238</v>
      </c>
      <c r="I126" s="12">
        <f t="shared" si="6"/>
        <v>0</v>
      </c>
    </row>
    <row r="127" spans="2:9" ht="12.75" hidden="1">
      <c r="B127" s="1">
        <v>51</v>
      </c>
      <c r="C127" s="21">
        <f t="shared" si="0"/>
        <v>848.6097149502716</v>
      </c>
      <c r="D127" s="14">
        <f t="shared" si="2"/>
        <v>309</v>
      </c>
      <c r="E127" s="15">
        <f t="shared" si="3"/>
        <v>94.30545726803925</v>
      </c>
      <c r="F127" s="11">
        <f t="shared" si="1"/>
        <v>754.3042576822323</v>
      </c>
      <c r="G127" s="12">
        <f t="shared" si="4"/>
        <v>568974.9131575435</v>
      </c>
      <c r="H127" s="13">
        <f t="shared" si="5"/>
        <v>0.17111195810048238</v>
      </c>
      <c r="I127" s="12">
        <f t="shared" si="6"/>
        <v>0</v>
      </c>
    </row>
    <row r="128" spans="2:9" ht="12.75" hidden="1">
      <c r="B128" s="1">
        <v>52</v>
      </c>
      <c r="C128" s="21">
        <f t="shared" si="0"/>
        <v>833.1079011843646</v>
      </c>
      <c r="D128" s="14">
        <f t="shared" si="2"/>
        <v>308</v>
      </c>
      <c r="E128" s="15">
        <f t="shared" si="3"/>
        <v>94.61803373765005</v>
      </c>
      <c r="F128" s="11">
        <f t="shared" si="1"/>
        <v>738.4898674467145</v>
      </c>
      <c r="G128" s="12">
        <f t="shared" si="4"/>
        <v>545367.2843214659</v>
      </c>
      <c r="H128" s="13">
        <f t="shared" si="5"/>
        <v>0.17111195810048238</v>
      </c>
      <c r="I128" s="12">
        <f t="shared" si="6"/>
        <v>0</v>
      </c>
    </row>
    <row r="129" spans="2:9" ht="12.75" hidden="1">
      <c r="B129" s="1">
        <v>53</v>
      </c>
      <c r="C129" s="21">
        <f t="shared" si="0"/>
        <v>818.191577505814</v>
      </c>
      <c r="D129" s="14">
        <f t="shared" si="2"/>
        <v>307</v>
      </c>
      <c r="E129" s="15">
        <f t="shared" si="3"/>
        <v>94.93262531603335</v>
      </c>
      <c r="F129" s="11">
        <f t="shared" si="1"/>
        <v>723.2589521897808</v>
      </c>
      <c r="G129" s="12">
        <f t="shared" si="4"/>
        <v>523103.5119226596</v>
      </c>
      <c r="H129" s="13">
        <f t="shared" si="5"/>
        <v>0.17111195810048238</v>
      </c>
      <c r="I129" s="12">
        <f t="shared" si="6"/>
        <v>0</v>
      </c>
    </row>
    <row r="130" spans="2:9" ht="12.75" hidden="1">
      <c r="B130" s="1">
        <v>54</v>
      </c>
      <c r="C130" s="21">
        <f t="shared" si="0"/>
        <v>803.8282166663284</v>
      </c>
      <c r="D130" s="14">
        <f t="shared" si="2"/>
        <v>306</v>
      </c>
      <c r="E130" s="15">
        <f t="shared" si="3"/>
        <v>95.24925175296178</v>
      </c>
      <c r="F130" s="11">
        <f t="shared" si="1"/>
        <v>708.5789649133667</v>
      </c>
      <c r="G130" s="12">
        <f t="shared" si="4"/>
        <v>502084.14951769816</v>
      </c>
      <c r="H130" s="13">
        <f t="shared" si="5"/>
        <v>0.17111195810048238</v>
      </c>
      <c r="I130" s="12">
        <f t="shared" si="6"/>
        <v>0</v>
      </c>
    </row>
    <row r="131" spans="2:9" ht="12.75" hidden="1">
      <c r="B131" s="1">
        <v>55</v>
      </c>
      <c r="C131" s="21">
        <f t="shared" si="0"/>
        <v>789.9876570352641</v>
      </c>
      <c r="D131" s="14">
        <f t="shared" si="2"/>
        <v>305</v>
      </c>
      <c r="E131" s="15">
        <f t="shared" si="3"/>
        <v>95.56793305724068</v>
      </c>
      <c r="F131" s="11">
        <f t="shared" si="1"/>
        <v>694.4197239780234</v>
      </c>
      <c r="G131" s="12">
        <f t="shared" si="4"/>
        <v>482218.7530497142</v>
      </c>
      <c r="H131" s="13">
        <f t="shared" si="5"/>
        <v>0.17111195810048238</v>
      </c>
      <c r="I131" s="12">
        <f t="shared" si="6"/>
        <v>0</v>
      </c>
    </row>
    <row r="132" spans="2:9" ht="12.75" hidden="1">
      <c r="B132" s="1">
        <v>56</v>
      </c>
      <c r="C132" s="21">
        <f t="shared" si="0"/>
        <v>776.6418913837898</v>
      </c>
      <c r="D132" s="14">
        <f t="shared" si="2"/>
        <v>304</v>
      </c>
      <c r="E132" s="15">
        <f t="shared" si="3"/>
        <v>95.88868950096901</v>
      </c>
      <c r="F132" s="11">
        <f t="shared" si="1"/>
        <v>680.7532018828208</v>
      </c>
      <c r="G132" s="12">
        <f t="shared" si="4"/>
        <v>463424.92187371256</v>
      </c>
      <c r="H132" s="13">
        <f t="shared" si="5"/>
        <v>0.17111195810048238</v>
      </c>
      <c r="I132" s="12">
        <f t="shared" si="6"/>
        <v>0</v>
      </c>
    </row>
    <row r="133" spans="2:9" ht="12.75" hidden="1">
      <c r="B133" s="1">
        <v>57</v>
      </c>
      <c r="C133" s="21">
        <f t="shared" si="0"/>
        <v>763.7648779022509</v>
      </c>
      <c r="D133" s="14">
        <f t="shared" si="2"/>
        <v>303</v>
      </c>
      <c r="E133" s="15">
        <f t="shared" si="3"/>
        <v>96.2115416238839</v>
      </c>
      <c r="F133" s="11">
        <f t="shared" si="1"/>
        <v>667.5533362783669</v>
      </c>
      <c r="G133" s="12">
        <f t="shared" si="4"/>
        <v>445627.45677637844</v>
      </c>
      <c r="H133" s="13">
        <f t="shared" si="5"/>
        <v>0.17111195810048238</v>
      </c>
      <c r="I133" s="12">
        <f t="shared" si="6"/>
        <v>0</v>
      </c>
    </row>
    <row r="134" spans="2:9" ht="12.75" hidden="1">
      <c r="B134" s="1">
        <v>58</v>
      </c>
      <c r="C134" s="21">
        <f t="shared" si="0"/>
        <v>751.3323707674997</v>
      </c>
      <c r="D134" s="14">
        <f t="shared" si="2"/>
        <v>302</v>
      </c>
      <c r="E134" s="15">
        <f t="shared" si="3"/>
        <v>96.53651023779177</v>
      </c>
      <c r="F134" s="11">
        <f t="shared" si="1"/>
        <v>654.795860529708</v>
      </c>
      <c r="G134" s="12">
        <f t="shared" si="4"/>
        <v>428757.6189668408</v>
      </c>
      <c r="H134" s="13">
        <f t="shared" si="5"/>
        <v>0.17111195810048238</v>
      </c>
      <c r="I134" s="12">
        <f t="shared" si="6"/>
        <v>0</v>
      </c>
    </row>
    <row r="135" spans="2:9" ht="12.75" hidden="1">
      <c r="B135" s="1">
        <v>59</v>
      </c>
      <c r="C135" s="21">
        <f t="shared" si="0"/>
        <v>739.3217679406291</v>
      </c>
      <c r="D135" s="14">
        <f t="shared" si="2"/>
        <v>301</v>
      </c>
      <c r="E135" s="15">
        <f t="shared" si="3"/>
        <v>96.86361643108776</v>
      </c>
      <c r="F135" s="11">
        <f t="shared" si="1"/>
        <v>642.4581515095414</v>
      </c>
      <c r="G135" s="12">
        <f t="shared" si="4"/>
        <v>412752.4764410568</v>
      </c>
      <c r="H135" s="13">
        <f t="shared" si="5"/>
        <v>0.17111195810048238</v>
      </c>
      <c r="I135" s="12">
        <f t="shared" si="6"/>
        <v>0</v>
      </c>
    </row>
    <row r="136" spans="2:9" ht="12.75" hidden="1">
      <c r="B136" s="1">
        <v>60</v>
      </c>
      <c r="C136" s="21">
        <f t="shared" si="0"/>
        <v>727.711974184972</v>
      </c>
      <c r="D136" s="14">
        <f t="shared" si="2"/>
        <v>300</v>
      </c>
      <c r="E136" s="15">
        <f t="shared" si="3"/>
        <v>97.1928815733657</v>
      </c>
      <c r="F136" s="11">
        <f t="shared" si="1"/>
        <v>630.5190926116063</v>
      </c>
      <c r="G136" s="12">
        <f t="shared" si="4"/>
        <v>397554.32614776335</v>
      </c>
      <c r="H136" s="13">
        <f t="shared" si="5"/>
        <v>0.17111195810048238</v>
      </c>
      <c r="I136" s="12">
        <f t="shared" si="6"/>
        <v>0</v>
      </c>
    </row>
    <row r="137" spans="2:9" ht="12.75" hidden="1">
      <c r="B137" s="1">
        <v>61</v>
      </c>
      <c r="C137" s="21">
        <f t="shared" si="0"/>
        <v>716.4832775577061</v>
      </c>
      <c r="D137" s="14">
        <f t="shared" si="2"/>
        <v>299</v>
      </c>
      <c r="E137" s="15">
        <f t="shared" si="3"/>
        <v>97.52432732012018</v>
      </c>
      <c r="F137" s="11">
        <f t="shared" si="1"/>
        <v>618.9589502375859</v>
      </c>
      <c r="G137" s="12">
        <f t="shared" si="4"/>
        <v>383110.1820792143</v>
      </c>
      <c r="H137" s="13">
        <f t="shared" si="5"/>
        <v>0.17111195810048238</v>
      </c>
      <c r="I137" s="12">
        <f t="shared" si="6"/>
        <v>0</v>
      </c>
    </row>
    <row r="138" spans="2:9" ht="12.75" hidden="1">
      <c r="B138" s="1">
        <v>62</v>
      </c>
      <c r="C138" s="21">
        <f t="shared" si="0"/>
        <v>705.6172378539138</v>
      </c>
      <c r="D138" s="14">
        <f t="shared" si="2"/>
        <v>298</v>
      </c>
      <c r="E138" s="15">
        <f t="shared" si="3"/>
        <v>97.85797561754384</v>
      </c>
      <c r="F138" s="11">
        <f t="shared" si="1"/>
        <v>607.75926223637</v>
      </c>
      <c r="G138" s="12">
        <f t="shared" si="4"/>
        <v>369371.32083409675</v>
      </c>
      <c r="H138" s="13">
        <f t="shared" si="5"/>
        <v>0.17111195810048238</v>
      </c>
      <c r="I138" s="12">
        <f t="shared" si="6"/>
        <v>0</v>
      </c>
    </row>
    <row r="139" spans="2:9" ht="12.75" hidden="1">
      <c r="B139" s="1">
        <v>63</v>
      </c>
      <c r="C139" s="21">
        <f t="shared" si="0"/>
        <v>695.096585674979</v>
      </c>
      <c r="D139" s="14">
        <f t="shared" si="2"/>
        <v>297</v>
      </c>
      <c r="E139" s="15">
        <f t="shared" si="3"/>
        <v>98.19384870742108</v>
      </c>
      <c r="F139" s="11">
        <f t="shared" si="1"/>
        <v>596.9027369675579</v>
      </c>
      <c r="G139" s="12">
        <f t="shared" si="4"/>
        <v>356292.8773993616</v>
      </c>
      <c r="H139" s="13">
        <f t="shared" si="5"/>
        <v>0.17111195810048238</v>
      </c>
      <c r="I139" s="12">
        <f t="shared" si="6"/>
        <v>0</v>
      </c>
    </row>
    <row r="140" spans="2:9" ht="12.75" hidden="1">
      <c r="B140" s="1">
        <v>64</v>
      </c>
      <c r="C140" s="21">
        <f t="shared" si="0"/>
        <v>684.9051309593755</v>
      </c>
      <c r="D140" s="14">
        <f t="shared" si="2"/>
        <v>296</v>
      </c>
      <c r="E140" s="15">
        <f t="shared" si="3"/>
        <v>98.53196913212129</v>
      </c>
      <c r="F140" s="11">
        <f t="shared" si="1"/>
        <v>586.3731618272542</v>
      </c>
      <c r="G140" s="12">
        <f t="shared" si="4"/>
        <v>343833.4849112912</v>
      </c>
      <c r="H140" s="13">
        <f t="shared" si="5"/>
        <v>0.17111195810048238</v>
      </c>
      <c r="I140" s="12">
        <f t="shared" si="6"/>
        <v>0</v>
      </c>
    </row>
    <row r="141" spans="2:9" ht="12.75" hidden="1">
      <c r="B141" s="1">
        <v>65</v>
      </c>
      <c r="C141" s="21">
        <f aca="true" t="shared" si="7" ref="C141:C204">($F$25/12)*POWER((($F$25/12)+1),B141)/(POWER((($F$25/12)+1),B141)-1)*$F$27</f>
        <v>675.0276799567113</v>
      </c>
      <c r="D141" s="14">
        <f t="shared" si="2"/>
        <v>295</v>
      </c>
      <c r="E141" s="15">
        <f t="shared" si="3"/>
        <v>98.87235973969351</v>
      </c>
      <c r="F141" s="11">
        <f aca="true" t="shared" si="8" ref="F141:F204">C141-E141</f>
        <v>576.1553202170178</v>
      </c>
      <c r="G141" s="12">
        <f t="shared" si="4"/>
        <v>331954.9530143743</v>
      </c>
      <c r="H141" s="13">
        <f t="shared" si="5"/>
        <v>0.17111195810048238</v>
      </c>
      <c r="I141" s="12">
        <f t="shared" si="6"/>
        <v>0</v>
      </c>
    </row>
    <row r="142" spans="2:9" ht="12.75" hidden="1">
      <c r="B142" s="1">
        <v>66</v>
      </c>
      <c r="C142" s="21">
        <f t="shared" si="7"/>
        <v>665.4499597496255</v>
      </c>
      <c r="D142" s="14">
        <f aca="true" t="shared" si="9" ref="D142:D205">IF($F$50-B142=0,1,$F$50-B142)</f>
        <v>294</v>
      </c>
      <c r="E142" s="15">
        <f aca="true" t="shared" si="10" ref="E142:E205">(2%/12)*POWER(((2%/12)+1),D142)/(POWER(((2%/12)+1),D142)-1)*(($E$11+$E$12)+((POWER((1+1/100),(($C$28*12+B142)/12))-1)*($E$11+$E$12)))</f>
        <v>99.21504368906501</v>
      </c>
      <c r="F142" s="11">
        <f t="shared" si="8"/>
        <v>566.2349160605604</v>
      </c>
      <c r="G142" s="12">
        <f aca="true" t="shared" si="11" ref="G142:G205">F142*F142</f>
        <v>320621.9801661099</v>
      </c>
      <c r="H142" s="13">
        <f aca="true" t="shared" si="12" ref="H142:H205">MIN($G$77:$G$434)</f>
        <v>0.17111195810048238</v>
      </c>
      <c r="I142" s="12">
        <f aca="true" t="shared" si="13" ref="I142:I205">IF(G142=H142,B142,0)</f>
        <v>0</v>
      </c>
    </row>
    <row r="143" spans="2:9" ht="12.75" hidden="1">
      <c r="B143" s="1">
        <v>67</v>
      </c>
      <c r="C143" s="21">
        <f t="shared" si="7"/>
        <v>656.1585495349017</v>
      </c>
      <c r="D143" s="14">
        <f t="shared" si="9"/>
        <v>293</v>
      </c>
      <c r="E143" s="15">
        <f t="shared" si="10"/>
        <v>99.56004445534643</v>
      </c>
      <c r="F143" s="11">
        <f t="shared" si="8"/>
        <v>556.5985050795553</v>
      </c>
      <c r="G143" s="12">
        <f t="shared" si="11"/>
        <v>309801.8958567957</v>
      </c>
      <c r="H143" s="13">
        <f t="shared" si="12"/>
        <v>0.17111195810048238</v>
      </c>
      <c r="I143" s="12">
        <f t="shared" si="13"/>
        <v>0</v>
      </c>
    </row>
    <row r="144" spans="2:9" ht="12.75" hidden="1">
      <c r="B144" s="1">
        <v>68</v>
      </c>
      <c r="C144" s="21">
        <f t="shared" si="7"/>
        <v>647.1408179680176</v>
      </c>
      <c r="D144" s="14">
        <f t="shared" si="9"/>
        <v>292</v>
      </c>
      <c r="E144" s="15">
        <f t="shared" si="10"/>
        <v>99.90738583524595</v>
      </c>
      <c r="F144" s="11">
        <f t="shared" si="8"/>
        <v>547.2334321327717</v>
      </c>
      <c r="G144" s="12">
        <f t="shared" si="11"/>
        <v>299464.4292438128</v>
      </c>
      <c r="H144" s="13">
        <f t="shared" si="12"/>
        <v>0.17111195810048238</v>
      </c>
      <c r="I144" s="12">
        <f t="shared" si="13"/>
        <v>0</v>
      </c>
    </row>
    <row r="145" spans="2:9" ht="12.75" hidden="1">
      <c r="B145" s="1">
        <v>69</v>
      </c>
      <c r="C145" s="21">
        <f t="shared" si="7"/>
        <v>638.38486595599</v>
      </c>
      <c r="D145" s="14">
        <f t="shared" si="9"/>
        <v>291</v>
      </c>
      <c r="E145" s="15">
        <f t="shared" si="10"/>
        <v>100.25709195259498</v>
      </c>
      <c r="F145" s="11">
        <f t="shared" si="8"/>
        <v>538.127774003395</v>
      </c>
      <c r="G145" s="12">
        <f t="shared" si="11"/>
        <v>289581.50115384895</v>
      </c>
      <c r="H145" s="13">
        <f t="shared" si="12"/>
        <v>0.17111195810048238</v>
      </c>
      <c r="I145" s="12">
        <f t="shared" si="13"/>
        <v>0</v>
      </c>
    </row>
    <row r="146" spans="2:9" ht="12.75" hidden="1">
      <c r="B146" s="1">
        <v>70</v>
      </c>
      <c r="C146" s="21">
        <f t="shared" si="7"/>
        <v>629.8794743537012</v>
      </c>
      <c r="D146" s="14">
        <f t="shared" si="9"/>
        <v>290</v>
      </c>
      <c r="E146" s="15">
        <f t="shared" si="10"/>
        <v>100.60918726398822</v>
      </c>
      <c r="F146" s="11">
        <f t="shared" si="8"/>
        <v>529.270287089713</v>
      </c>
      <c r="G146" s="12">
        <f t="shared" si="11"/>
        <v>280127.03679602715</v>
      </c>
      <c r="H146" s="13">
        <f t="shared" si="12"/>
        <v>0.17111195810048238</v>
      </c>
      <c r="I146" s="12">
        <f t="shared" si="13"/>
        <v>0</v>
      </c>
    </row>
    <row r="147" spans="2:9" ht="12.75" hidden="1">
      <c r="B147" s="1">
        <v>71</v>
      </c>
      <c r="C147" s="21">
        <f t="shared" si="7"/>
        <v>621.6140560802339</v>
      </c>
      <c r="D147" s="14">
        <f t="shared" si="9"/>
        <v>289</v>
      </c>
      <c r="E147" s="15">
        <f t="shared" si="10"/>
        <v>100.96369656454083</v>
      </c>
      <c r="F147" s="11">
        <f t="shared" si="8"/>
        <v>520.6503595156931</v>
      </c>
      <c r="G147" s="12">
        <f t="shared" si="11"/>
        <v>271076.7968638205</v>
      </c>
      <c r="H147" s="13">
        <f t="shared" si="12"/>
        <v>0.17111195810048238</v>
      </c>
      <c r="I147" s="12">
        <f t="shared" si="13"/>
        <v>0</v>
      </c>
    </row>
    <row r="148" spans="2:9" ht="12.75" hidden="1">
      <c r="B148" s="1">
        <v>72</v>
      </c>
      <c r="C148" s="21">
        <f t="shared" si="7"/>
        <v>613.5786122255379</v>
      </c>
      <c r="D148" s="14">
        <f t="shared" si="9"/>
        <v>288</v>
      </c>
      <c r="E148" s="15">
        <f t="shared" si="10"/>
        <v>101.32064499376557</v>
      </c>
      <c r="F148" s="11">
        <f t="shared" si="8"/>
        <v>512.2579672317723</v>
      </c>
      <c r="G148" s="12">
        <f t="shared" si="11"/>
        <v>262408.22499242757</v>
      </c>
      <c r="H148" s="13">
        <f t="shared" si="12"/>
        <v>0.17111195810048238</v>
      </c>
      <c r="I148" s="12">
        <f t="shared" si="13"/>
        <v>0</v>
      </c>
    </row>
    <row r="149" spans="2:9" ht="12.75" hidden="1">
      <c r="B149" s="1">
        <v>73</v>
      </c>
      <c r="C149" s="21">
        <f t="shared" si="7"/>
        <v>605.763691764745</v>
      </c>
      <c r="D149" s="14">
        <f t="shared" si="9"/>
        <v>287</v>
      </c>
      <c r="E149" s="15">
        <f t="shared" si="10"/>
        <v>101.68005804157274</v>
      </c>
      <c r="F149" s="11">
        <f t="shared" si="8"/>
        <v>504.0836337231722</v>
      </c>
      <c r="G149" s="12">
        <f t="shared" si="11"/>
        <v>254100.30978755726</v>
      </c>
      <c r="H149" s="13">
        <f t="shared" si="12"/>
        <v>0.17111195810048238</v>
      </c>
      <c r="I149" s="12">
        <f t="shared" si="13"/>
        <v>0</v>
      </c>
    </row>
    <row r="150" spans="2:9" ht="12.75" hidden="1">
      <c r="B150" s="1">
        <v>74</v>
      </c>
      <c r="C150" s="21">
        <f t="shared" si="7"/>
        <v>598.1603545389042</v>
      </c>
      <c r="D150" s="14">
        <f t="shared" si="9"/>
        <v>286</v>
      </c>
      <c r="E150" s="15">
        <f t="shared" si="10"/>
        <v>102.041961554396</v>
      </c>
      <c r="F150" s="11">
        <f t="shared" si="8"/>
        <v>496.11839298450826</v>
      </c>
      <c r="G150" s="12">
        <f t="shared" si="11"/>
        <v>246133.45985753098</v>
      </c>
      <c r="H150" s="13">
        <f t="shared" si="12"/>
        <v>0.17111195810048238</v>
      </c>
      <c r="I150" s="12">
        <f t="shared" si="13"/>
        <v>0</v>
      </c>
    </row>
    <row r="151" spans="2:9" ht="12.75" hidden="1">
      <c r="B151" s="1">
        <v>75</v>
      </c>
      <c r="C151" s="21">
        <f t="shared" si="7"/>
        <v>590.7601371972507</v>
      </c>
      <c r="D151" s="14">
        <f t="shared" si="9"/>
        <v>285</v>
      </c>
      <c r="E151" s="15">
        <f t="shared" si="10"/>
        <v>102.40638174144715</v>
      </c>
      <c r="F151" s="11">
        <f t="shared" si="8"/>
        <v>488.3537554558036</v>
      </c>
      <c r="G151" s="12">
        <f t="shared" si="11"/>
        <v>238489.3904677868</v>
      </c>
      <c r="H151" s="13">
        <f t="shared" si="12"/>
        <v>0.17111195810048238</v>
      </c>
      <c r="I151" s="12">
        <f t="shared" si="13"/>
        <v>0</v>
      </c>
    </row>
    <row r="152" spans="2:9" ht="12.75" hidden="1">
      <c r="B152" s="1">
        <v>76</v>
      </c>
      <c r="C152" s="21">
        <f t="shared" si="7"/>
        <v>583.5550218282499</v>
      </c>
      <c r="D152" s="14">
        <f t="shared" si="9"/>
        <v>284</v>
      </c>
      <c r="E152" s="15">
        <f t="shared" si="10"/>
        <v>102.77334518110337</v>
      </c>
      <c r="F152" s="11">
        <f t="shared" si="8"/>
        <v>480.7816766471465</v>
      </c>
      <c r="G152" s="12">
        <f t="shared" si="11"/>
        <v>231151.02059964137</v>
      </c>
      <c r="H152" s="13">
        <f t="shared" si="12"/>
        <v>0.17111195810048238</v>
      </c>
      <c r="I152" s="12">
        <f t="shared" si="13"/>
        <v>0</v>
      </c>
    </row>
    <row r="153" spans="2:9" ht="12.75" hidden="1">
      <c r="B153" s="1">
        <v>77</v>
      </c>
      <c r="C153" s="21">
        <f t="shared" si="7"/>
        <v>576.5374070349698</v>
      </c>
      <c r="D153" s="14">
        <f t="shared" si="9"/>
        <v>283</v>
      </c>
      <c r="E153" s="15">
        <f t="shared" si="10"/>
        <v>103.14287882742914</v>
      </c>
      <c r="F153" s="11">
        <f t="shared" si="8"/>
        <v>473.3945282075406</v>
      </c>
      <c r="G153" s="12">
        <f t="shared" si="11"/>
        <v>224102.37933683995</v>
      </c>
      <c r="H153" s="13">
        <f t="shared" si="12"/>
        <v>0.17111195810048238</v>
      </c>
      <c r="I153" s="12">
        <f t="shared" si="13"/>
        <v>0</v>
      </c>
    </row>
    <row r="154" spans="2:9" ht="12.75" hidden="1">
      <c r="B154" s="1">
        <v>78</v>
      </c>
      <c r="C154" s="21">
        <f t="shared" si="7"/>
        <v>569.7000812354302</v>
      </c>
      <c r="D154" s="14">
        <f t="shared" si="9"/>
        <v>282</v>
      </c>
      <c r="E154" s="15">
        <f t="shared" si="10"/>
        <v>103.51501001683766</v>
      </c>
      <c r="F154" s="11">
        <f t="shared" si="8"/>
        <v>466.1850712185925</v>
      </c>
      <c r="G154" s="12">
        <f t="shared" si="11"/>
        <v>217328.52062708416</v>
      </c>
      <c r="H154" s="13">
        <f t="shared" si="12"/>
        <v>0.17111195810048238</v>
      </c>
      <c r="I154" s="12">
        <f t="shared" si="13"/>
        <v>0</v>
      </c>
    </row>
    <row r="155" spans="2:9" ht="12.75" hidden="1">
      <c r="B155" s="1">
        <v>79</v>
      </c>
      <c r="C155" s="21">
        <f t="shared" si="7"/>
        <v>563.036197990762</v>
      </c>
      <c r="D155" s="14">
        <f t="shared" si="9"/>
        <v>281</v>
      </c>
      <c r="E155" s="15">
        <f t="shared" si="10"/>
        <v>103.88976647489419</v>
      </c>
      <c r="F155" s="11">
        <f t="shared" si="8"/>
        <v>459.14643151586785</v>
      </c>
      <c r="G155" s="12">
        <f t="shared" si="11"/>
        <v>210815.4455737555</v>
      </c>
      <c r="H155" s="13">
        <f t="shared" si="12"/>
        <v>0.17111195810048238</v>
      </c>
      <c r="I155" s="12">
        <f t="shared" si="13"/>
        <v>0</v>
      </c>
    </row>
    <row r="156" spans="2:9" ht="12.75" hidden="1">
      <c r="B156" s="1">
        <v>80</v>
      </c>
      <c r="C156" s="21">
        <f t="shared" si="7"/>
        <v>556.5392531837758</v>
      </c>
      <c r="D156" s="14">
        <f t="shared" si="9"/>
        <v>280</v>
      </c>
      <c r="E156" s="15">
        <f t="shared" si="10"/>
        <v>104.2671763232651</v>
      </c>
      <c r="F156" s="11">
        <f t="shared" si="8"/>
        <v>452.2720768605107</v>
      </c>
      <c r="G156" s="12">
        <f t="shared" si="11"/>
        <v>204550.03150771972</v>
      </c>
      <c r="H156" s="13">
        <f t="shared" si="12"/>
        <v>0.17111195810048238</v>
      </c>
      <c r="I156" s="12">
        <f t="shared" si="13"/>
        <v>0</v>
      </c>
    </row>
    <row r="157" spans="2:9" ht="12.75" hidden="1">
      <c r="B157" s="1">
        <v>81</v>
      </c>
      <c r="C157" s="21">
        <f t="shared" si="7"/>
        <v>550.2030638879818</v>
      </c>
      <c r="D157" s="14">
        <f t="shared" si="9"/>
        <v>279</v>
      </c>
      <c r="E157" s="15">
        <f t="shared" si="10"/>
        <v>104.64726808681677</v>
      </c>
      <c r="F157" s="11">
        <f t="shared" si="8"/>
        <v>445.555795801165</v>
      </c>
      <c r="G157" s="12">
        <f t="shared" si="11"/>
        <v>198519.96717200943</v>
      </c>
      <c r="H157" s="13">
        <f t="shared" si="12"/>
        <v>0.17111195810048238</v>
      </c>
      <c r="I157" s="12">
        <f t="shared" si="13"/>
        <v>0</v>
      </c>
    </row>
    <row r="158" spans="2:9" ht="12.75" hidden="1">
      <c r="B158" s="1">
        <v>82</v>
      </c>
      <c r="C158" s="21">
        <f t="shared" si="7"/>
        <v>544.0217487827999</v>
      </c>
      <c r="D158" s="14">
        <f t="shared" si="9"/>
        <v>278</v>
      </c>
      <c r="E158" s="15">
        <f t="shared" si="10"/>
        <v>105.03007070086683</v>
      </c>
      <c r="F158" s="11">
        <f t="shared" si="8"/>
        <v>438.9916780819331</v>
      </c>
      <c r="G158" s="12">
        <f t="shared" si="11"/>
        <v>192713.6934251916</v>
      </c>
      <c r="H158" s="13">
        <f t="shared" si="12"/>
        <v>0.17111195810048238</v>
      </c>
      <c r="I158" s="12">
        <f t="shared" si="13"/>
        <v>0</v>
      </c>
    </row>
    <row r="159" spans="2:9" ht="12.75" hidden="1">
      <c r="B159" s="1">
        <v>83</v>
      </c>
      <c r="C159" s="21">
        <f t="shared" si="7"/>
        <v>537.9897099845218</v>
      </c>
      <c r="D159" s="14">
        <f t="shared" si="9"/>
        <v>277</v>
      </c>
      <c r="E159" s="15">
        <f t="shared" si="10"/>
        <v>105.41561351859364</v>
      </c>
      <c r="F159" s="11">
        <f t="shared" si="8"/>
        <v>432.57409646592816</v>
      </c>
      <c r="G159" s="12">
        <f t="shared" si="11"/>
        <v>187120.34893331412</v>
      </c>
      <c r="H159" s="13">
        <f t="shared" si="12"/>
        <v>0.17111195810048238</v>
      </c>
      <c r="I159" s="12">
        <f t="shared" si="13"/>
        <v>0</v>
      </c>
    </row>
    <row r="160" spans="2:9" ht="12.75" hidden="1">
      <c r="B160" s="1">
        <v>84</v>
      </c>
      <c r="C160" s="21">
        <f t="shared" si="7"/>
        <v>532.101616175076</v>
      </c>
      <c r="D160" s="14">
        <f t="shared" si="9"/>
        <v>276</v>
      </c>
      <c r="E160" s="15">
        <f t="shared" si="10"/>
        <v>105.8039263186059</v>
      </c>
      <c r="F160" s="11">
        <f t="shared" si="8"/>
        <v>426.29768985647</v>
      </c>
      <c r="G160" s="12">
        <f t="shared" si="11"/>
        <v>181729.7203769631</v>
      </c>
      <c r="H160" s="13">
        <f t="shared" si="12"/>
        <v>0.17111195810048238</v>
      </c>
      <c r="I160" s="12">
        <f t="shared" si="13"/>
        <v>0</v>
      </c>
    </row>
    <row r="161" spans="2:9" ht="12.75" hidden="1">
      <c r="B161" s="1">
        <v>85</v>
      </c>
      <c r="C161" s="21">
        <f t="shared" si="7"/>
        <v>526.3523869216907</v>
      </c>
      <c r="D161" s="14">
        <f t="shared" si="9"/>
        <v>275</v>
      </c>
      <c r="E161" s="15">
        <f t="shared" si="10"/>
        <v>106.19503931267792</v>
      </c>
      <c r="F161" s="11">
        <f t="shared" si="8"/>
        <v>420.1573476090128</v>
      </c>
      <c r="G161" s="12">
        <f t="shared" si="11"/>
        <v>176532.1967498408</v>
      </c>
      <c r="H161" s="13">
        <f t="shared" si="12"/>
        <v>0.17111195810048238</v>
      </c>
      <c r="I161" s="12">
        <f t="shared" si="13"/>
        <v>0</v>
      </c>
    </row>
    <row r="162" spans="2:9" ht="12.75" hidden="1">
      <c r="B162" s="1">
        <v>86</v>
      </c>
      <c r="C162" s="21">
        <f t="shared" si="7"/>
        <v>520.7371780905422</v>
      </c>
      <c r="D162" s="14">
        <f t="shared" si="9"/>
        <v>274</v>
      </c>
      <c r="E162" s="15">
        <f t="shared" si="10"/>
        <v>106.58898315365406</v>
      </c>
      <c r="F162" s="11">
        <f t="shared" si="8"/>
        <v>414.14819493688816</v>
      </c>
      <c r="G162" s="12">
        <f t="shared" si="11"/>
        <v>171518.72736948272</v>
      </c>
      <c r="H162" s="13">
        <f t="shared" si="12"/>
        <v>0.17111195810048238</v>
      </c>
      <c r="I162" s="12">
        <f t="shared" si="13"/>
        <v>0</v>
      </c>
    </row>
    <row r="163" spans="2:9" ht="12.75" hidden="1">
      <c r="B163" s="1">
        <v>87</v>
      </c>
      <c r="C163" s="21">
        <f t="shared" si="7"/>
        <v>515.2513682663529</v>
      </c>
      <c r="D163" s="14">
        <f t="shared" si="9"/>
        <v>273</v>
      </c>
      <c r="E163" s="15">
        <f t="shared" si="10"/>
        <v>106.98578894352674</v>
      </c>
      <c r="F163" s="11">
        <f t="shared" si="8"/>
        <v>408.2655793228261</v>
      </c>
      <c r="G163" s="12">
        <f t="shared" si="11"/>
        <v>166680.78325980282</v>
      </c>
      <c r="H163" s="13">
        <f t="shared" si="12"/>
        <v>0.17111195810048238</v>
      </c>
      <c r="I163" s="12">
        <f t="shared" si="13"/>
        <v>0</v>
      </c>
    </row>
    <row r="164" spans="2:9" ht="12.75" hidden="1">
      <c r="B164" s="1">
        <v>88</v>
      </c>
      <c r="C164" s="21">
        <f t="shared" si="7"/>
        <v>509.8905460979314</v>
      </c>
      <c r="D164" s="14">
        <f t="shared" si="9"/>
        <v>272</v>
      </c>
      <c r="E164" s="15">
        <f t="shared" si="10"/>
        <v>107.38548824169325</v>
      </c>
      <c r="F164" s="11">
        <f t="shared" si="8"/>
        <v>402.5050578562382</v>
      </c>
      <c r="G164" s="12">
        <f t="shared" si="11"/>
        <v>162010.32159985363</v>
      </c>
      <c r="H164" s="13">
        <f t="shared" si="12"/>
        <v>0.17111195810048238</v>
      </c>
      <c r="I164" s="12">
        <f t="shared" si="13"/>
        <v>0</v>
      </c>
    </row>
    <row r="165" spans="2:9" ht="12.75" hidden="1">
      <c r="B165" s="1">
        <v>89</v>
      </c>
      <c r="C165" s="21">
        <f t="shared" si="7"/>
        <v>504.65049849681844</v>
      </c>
      <c r="D165" s="14">
        <f t="shared" si="9"/>
        <v>271</v>
      </c>
      <c r="E165" s="15">
        <f t="shared" si="10"/>
        <v>107.78811307339483</v>
      </c>
      <c r="F165" s="11">
        <f t="shared" si="8"/>
        <v>396.86238542342363</v>
      </c>
      <c r="G165" s="12">
        <f t="shared" si="11"/>
        <v>157499.75296397004</v>
      </c>
      <c r="H165" s="13">
        <f t="shared" si="12"/>
        <v>0.17111195810048238</v>
      </c>
      <c r="I165" s="12">
        <f t="shared" si="13"/>
        <v>0</v>
      </c>
    </row>
    <row r="166" spans="2:9" ht="12.75" hidden="1">
      <c r="B166" s="1">
        <v>90</v>
      </c>
      <c r="C166" s="21">
        <f t="shared" si="7"/>
        <v>499.5271996226914</v>
      </c>
      <c r="D166" s="14">
        <f t="shared" si="9"/>
        <v>270</v>
      </c>
      <c r="E166" s="15">
        <f t="shared" si="10"/>
        <v>108.19369593834314</v>
      </c>
      <c r="F166" s="11">
        <f t="shared" si="8"/>
        <v>391.3335036843483</v>
      </c>
      <c r="G166" s="12">
        <f t="shared" si="11"/>
        <v>153141.91110586782</v>
      </c>
      <c r="H166" s="13">
        <f t="shared" si="12"/>
        <v>0.17111195810048238</v>
      </c>
      <c r="I166" s="12">
        <f t="shared" si="13"/>
        <v>0</v>
      </c>
    </row>
    <row r="167" spans="2:9" ht="12.75" hidden="1">
      <c r="B167" s="1">
        <v>91</v>
      </c>
      <c r="C167" s="21">
        <f t="shared" si="7"/>
        <v>494.51680059500177</v>
      </c>
      <c r="D167" s="14">
        <f t="shared" si="9"/>
        <v>269</v>
      </c>
      <c r="E167" s="15">
        <f t="shared" si="10"/>
        <v>108.60226981953977</v>
      </c>
      <c r="F167" s="11">
        <f t="shared" si="8"/>
        <v>385.914530775462</v>
      </c>
      <c r="G167" s="12">
        <f t="shared" si="11"/>
        <v>148930.02506364504</v>
      </c>
      <c r="H167" s="13">
        <f t="shared" si="12"/>
        <v>0.17111195810048238</v>
      </c>
      <c r="I167" s="12">
        <f t="shared" si="13"/>
        <v>0</v>
      </c>
    </row>
    <row r="168" spans="2:9" ht="12.75" hidden="1">
      <c r="B168" s="1">
        <v>92</v>
      </c>
      <c r="C168" s="21">
        <f t="shared" si="7"/>
        <v>489.6156198756004</v>
      </c>
      <c r="D168" s="14">
        <f t="shared" si="9"/>
        <v>268</v>
      </c>
      <c r="E168" s="15">
        <f t="shared" si="10"/>
        <v>109.01386819229276</v>
      </c>
      <c r="F168" s="11">
        <f t="shared" si="8"/>
        <v>380.6017516833076</v>
      </c>
      <c r="G168" s="12">
        <f t="shared" si="11"/>
        <v>144857.69338440214</v>
      </c>
      <c r="H168" s="13">
        <f t="shared" si="12"/>
        <v>0.17111195810048238</v>
      </c>
      <c r="I168" s="12">
        <f t="shared" si="13"/>
        <v>0</v>
      </c>
    </row>
    <row r="169" spans="2:9" ht="12.75" hidden="1">
      <c r="B169" s="1">
        <v>93</v>
      </c>
      <c r="C169" s="21">
        <f t="shared" si="7"/>
        <v>484.82013427183267</v>
      </c>
      <c r="D169" s="14">
        <f t="shared" si="9"/>
        <v>267</v>
      </c>
      <c r="E169" s="15">
        <f t="shared" si="10"/>
        <v>109.42852503343578</v>
      </c>
      <c r="F169" s="11">
        <f t="shared" si="8"/>
        <v>375.3916092383969</v>
      </c>
      <c r="G169" s="12">
        <f t="shared" si="11"/>
        <v>140918.86028659326</v>
      </c>
      <c r="H169" s="13">
        <f t="shared" si="12"/>
        <v>0.17111195810048238</v>
      </c>
      <c r="I169" s="12">
        <f t="shared" si="13"/>
        <v>0</v>
      </c>
    </row>
    <row r="170" spans="2:9" ht="12.75" hidden="1">
      <c r="B170" s="1">
        <v>94</v>
      </c>
      <c r="C170" s="21">
        <f t="shared" si="7"/>
        <v>480.1269705139077</v>
      </c>
      <c r="D170" s="14">
        <f t="shared" si="9"/>
        <v>266</v>
      </c>
      <c r="E170" s="15">
        <f t="shared" si="10"/>
        <v>109.84627483075525</v>
      </c>
      <c r="F170" s="11">
        <f t="shared" si="8"/>
        <v>370.28069568315243</v>
      </c>
      <c r="G170" s="12">
        <f t="shared" si="11"/>
        <v>137107.79359559933</v>
      </c>
      <c r="H170" s="13">
        <f t="shared" si="12"/>
        <v>0.17111195810048238</v>
      </c>
      <c r="I170" s="12">
        <f t="shared" si="13"/>
        <v>0</v>
      </c>
    </row>
    <row r="171" spans="2:9" ht="12.75" hidden="1">
      <c r="B171" s="1">
        <v>95</v>
      </c>
      <c r="C171" s="21">
        <f t="shared" si="7"/>
        <v>475.53289736421357</v>
      </c>
      <c r="D171" s="14">
        <f t="shared" si="9"/>
        <v>265</v>
      </c>
      <c r="E171" s="15">
        <f t="shared" si="10"/>
        <v>110.26715259263125</v>
      </c>
      <c r="F171" s="11">
        <f t="shared" si="8"/>
        <v>365.2657447715823</v>
      </c>
      <c r="G171" s="12">
        <f t="shared" si="11"/>
        <v>133419.0643035387</v>
      </c>
      <c r="H171" s="13">
        <f t="shared" si="12"/>
        <v>0.17111195810048238</v>
      </c>
      <c r="I171" s="12">
        <f t="shared" si="13"/>
        <v>0</v>
      </c>
    </row>
    <row r="172" spans="2:9" ht="12.75" hidden="1">
      <c r="B172" s="1">
        <v>96</v>
      </c>
      <c r="C172" s="21">
        <f t="shared" si="7"/>
        <v>471.03481821982143</v>
      </c>
      <c r="D172" s="14">
        <f t="shared" si="9"/>
        <v>264</v>
      </c>
      <c r="E172" s="15">
        <f t="shared" si="10"/>
        <v>110.69119385789698</v>
      </c>
      <c r="F172" s="11">
        <f t="shared" si="8"/>
        <v>360.34362436192447</v>
      </c>
      <c r="G172" s="12">
        <f t="shared" si="11"/>
        <v>129847.52761828773</v>
      </c>
      <c r="H172" s="13">
        <f t="shared" si="12"/>
        <v>0.17111195810048238</v>
      </c>
      <c r="I172" s="12">
        <f t="shared" si="13"/>
        <v>0</v>
      </c>
    </row>
    <row r="173" spans="2:9" ht="12.75" hidden="1">
      <c r="B173" s="1">
        <v>97</v>
      </c>
      <c r="C173" s="21">
        <f t="shared" si="7"/>
        <v>466.62976417254157</v>
      </c>
      <c r="D173" s="14">
        <f t="shared" si="9"/>
        <v>263</v>
      </c>
      <c r="E173" s="15">
        <f t="shared" si="10"/>
        <v>111.11843470592358</v>
      </c>
      <c r="F173" s="11">
        <f t="shared" si="8"/>
        <v>355.511329466618</v>
      </c>
      <c r="G173" s="12">
        <f t="shared" si="11"/>
        <v>126388.30537912222</v>
      </c>
      <c r="H173" s="13">
        <f t="shared" si="12"/>
        <v>0.17111195810048238</v>
      </c>
      <c r="I173" s="12">
        <f t="shared" si="13"/>
        <v>0</v>
      </c>
    </row>
    <row r="174" spans="2:9" ht="12.75" hidden="1">
      <c r="B174" s="1">
        <v>98</v>
      </c>
      <c r="C174" s="21">
        <f t="shared" si="7"/>
        <v>462.3148874938922</v>
      </c>
      <c r="D174" s="14">
        <f t="shared" si="9"/>
        <v>262</v>
      </c>
      <c r="E174" s="15">
        <f t="shared" si="10"/>
        <v>111.54891176693559</v>
      </c>
      <c r="F174" s="11">
        <f t="shared" si="8"/>
        <v>350.7659757269566</v>
      </c>
      <c r="G174" s="12">
        <f t="shared" si="11"/>
        <v>123036.76972768389</v>
      </c>
      <c r="H174" s="13">
        <f t="shared" si="12"/>
        <v>0.17111195810048238</v>
      </c>
      <c r="I174" s="12">
        <f t="shared" si="13"/>
        <v>0</v>
      </c>
    </row>
    <row r="175" spans="2:9" ht="12.75" hidden="1">
      <c r="B175" s="1">
        <v>99</v>
      </c>
      <c r="C175" s="21">
        <f t="shared" si="7"/>
        <v>458.08745551490887</v>
      </c>
      <c r="D175" s="14">
        <f t="shared" si="9"/>
        <v>261</v>
      </c>
      <c r="E175" s="15">
        <f t="shared" si="10"/>
        <v>111.98266223256395</v>
      </c>
      <c r="F175" s="11">
        <f t="shared" si="8"/>
        <v>346.10479328234493</v>
      </c>
      <c r="G175" s="12">
        <f t="shared" si="11"/>
        <v>119788.52793301472</v>
      </c>
      <c r="H175" s="13">
        <f t="shared" si="12"/>
        <v>0.17111195810048238</v>
      </c>
      <c r="I175" s="12">
        <f t="shared" si="13"/>
        <v>0</v>
      </c>
    </row>
    <row r="176" spans="2:9" ht="12.75" hidden="1">
      <c r="B176" s="1">
        <v>100</v>
      </c>
      <c r="C176" s="21">
        <f t="shared" si="7"/>
        <v>453.944844873171</v>
      </c>
      <c r="D176" s="14">
        <f t="shared" si="9"/>
        <v>260</v>
      </c>
      <c r="E176" s="15">
        <f t="shared" si="10"/>
        <v>112.41972386664214</v>
      </c>
      <c r="F176" s="11">
        <f t="shared" si="8"/>
        <v>341.5251210065289</v>
      </c>
      <c r="G176" s="12">
        <f t="shared" si="11"/>
        <v>116639.40827852419</v>
      </c>
      <c r="H176" s="13">
        <f t="shared" si="12"/>
        <v>0.17111195810048238</v>
      </c>
      <c r="I176" s="12">
        <f t="shared" si="13"/>
        <v>0</v>
      </c>
    </row>
    <row r="177" spans="2:9" ht="12.75" hidden="1">
      <c r="B177" s="1">
        <v>101</v>
      </c>
      <c r="C177" s="21">
        <f t="shared" si="7"/>
        <v>449.8845361015861</v>
      </c>
      <c r="D177" s="14">
        <f t="shared" si="9"/>
        <v>259</v>
      </c>
      <c r="E177" s="15">
        <f t="shared" si="10"/>
        <v>112.86013501625263</v>
      </c>
      <c r="F177" s="11">
        <f t="shared" si="8"/>
        <v>337.02440108533347</v>
      </c>
      <c r="G177" s="12">
        <f t="shared" si="11"/>
        <v>113585.44692692772</v>
      </c>
      <c r="H177" s="13">
        <f t="shared" si="12"/>
        <v>0.17111195810048238</v>
      </c>
      <c r="I177" s="12">
        <f t="shared" si="13"/>
        <v>0</v>
      </c>
    </row>
    <row r="178" spans="2:9" ht="12.75" hidden="1">
      <c r="B178" s="1">
        <v>102</v>
      </c>
      <c r="C178" s="21">
        <f t="shared" si="7"/>
        <v>445.9041085354821</v>
      </c>
      <c r="D178" s="14">
        <f t="shared" si="9"/>
        <v>258</v>
      </c>
      <c r="E178" s="15">
        <f t="shared" si="10"/>
        <v>113.30393462303005</v>
      </c>
      <c r="F178" s="11">
        <f t="shared" si="8"/>
        <v>332.6001739124521</v>
      </c>
      <c r="G178" s="12">
        <f t="shared" si="11"/>
        <v>110622.87568659337</v>
      </c>
      <c r="H178" s="13">
        <f t="shared" si="12"/>
        <v>0.17111195810048238</v>
      </c>
      <c r="I178" s="12">
        <f t="shared" si="13"/>
        <v>0</v>
      </c>
    </row>
    <row r="179" spans="2:9" ht="12.75" hidden="1">
      <c r="B179" s="1">
        <v>103</v>
      </c>
      <c r="C179" s="21">
        <f t="shared" si="7"/>
        <v>442.00123551637046</v>
      </c>
      <c r="D179" s="14">
        <f t="shared" si="9"/>
        <v>257</v>
      </c>
      <c r="E179" s="15">
        <f t="shared" si="10"/>
        <v>113.75116223472853</v>
      </c>
      <c r="F179" s="11">
        <f t="shared" si="8"/>
        <v>328.2500732816419</v>
      </c>
      <c r="G179" s="12">
        <f t="shared" si="11"/>
        <v>107748.11060940327</v>
      </c>
      <c r="H179" s="13">
        <f t="shared" si="12"/>
        <v>0.17111195810048238</v>
      </c>
      <c r="I179" s="12">
        <f t="shared" si="13"/>
        <v>0</v>
      </c>
    </row>
    <row r="180" spans="2:9" ht="12.75" hidden="1">
      <c r="B180" s="1">
        <v>104</v>
      </c>
      <c r="C180" s="21">
        <f t="shared" si="7"/>
        <v>438.17367987242324</v>
      </c>
      <c r="D180" s="14">
        <f t="shared" si="9"/>
        <v>256</v>
      </c>
      <c r="E180" s="15">
        <f t="shared" si="10"/>
        <v>114.20185801705993</v>
      </c>
      <c r="F180" s="11">
        <f t="shared" si="8"/>
        <v>323.9718218553633</v>
      </c>
      <c r="G180" s="12">
        <f t="shared" si="11"/>
        <v>104957.74135628327</v>
      </c>
      <c r="H180" s="13">
        <f t="shared" si="12"/>
        <v>0.17111195810048238</v>
      </c>
      <c r="I180" s="12">
        <f t="shared" si="13"/>
        <v>0</v>
      </c>
    </row>
    <row r="181" spans="2:9" ht="12.75" hidden="1">
      <c r="B181" s="1">
        <v>105</v>
      </c>
      <c r="C181" s="21">
        <f t="shared" si="7"/>
        <v>434.4192896571994</v>
      </c>
      <c r="D181" s="14">
        <f t="shared" si="9"/>
        <v>255</v>
      </c>
      <c r="E181" s="15">
        <f t="shared" si="10"/>
        <v>114.65606276581062</v>
      </c>
      <c r="F181" s="11">
        <f t="shared" si="8"/>
        <v>319.76322689138874</v>
      </c>
      <c r="G181" s="12">
        <f t="shared" si="11"/>
        <v>102248.52127199376</v>
      </c>
      <c r="H181" s="13">
        <f t="shared" si="12"/>
        <v>0.17111195810048238</v>
      </c>
      <c r="I181" s="12">
        <f t="shared" si="13"/>
        <v>0</v>
      </c>
    </row>
    <row r="182" spans="2:9" ht="12.75" hidden="1">
      <c r="B182" s="1">
        <v>106</v>
      </c>
      <c r="C182" s="21">
        <f t="shared" si="7"/>
        <v>430.73599412958197</v>
      </c>
      <c r="D182" s="14">
        <f t="shared" si="9"/>
        <v>254</v>
      </c>
      <c r="E182" s="15">
        <f t="shared" si="10"/>
        <v>115.11381791924461</v>
      </c>
      <c r="F182" s="11">
        <f t="shared" si="8"/>
        <v>315.62217621033733</v>
      </c>
      <c r="G182" s="12">
        <f t="shared" si="11"/>
        <v>99617.35811574923</v>
      </c>
      <c r="H182" s="13">
        <f t="shared" si="12"/>
        <v>0.17111195810048238</v>
      </c>
      <c r="I182" s="12">
        <f t="shared" si="13"/>
        <v>0</v>
      </c>
    </row>
    <row r="183" spans="2:9" ht="12.75" hidden="1">
      <c r="B183" s="1">
        <v>107</v>
      </c>
      <c r="C183" s="21">
        <f t="shared" si="7"/>
        <v>427.12179995913385</v>
      </c>
      <c r="D183" s="14">
        <f t="shared" si="9"/>
        <v>253</v>
      </c>
      <c r="E183" s="15">
        <f t="shared" si="10"/>
        <v>115.57516557080054</v>
      </c>
      <c r="F183" s="11">
        <f t="shared" si="8"/>
        <v>311.5466343883333</v>
      </c>
      <c r="G183" s="12">
        <f t="shared" si="11"/>
        <v>97061.30539869782</v>
      </c>
      <c r="H183" s="13">
        <f t="shared" si="12"/>
        <v>0.17111195810048238</v>
      </c>
      <c r="I183" s="12">
        <f t="shared" si="13"/>
        <v>0</v>
      </c>
    </row>
    <row r="184" spans="2:9" ht="12.75" hidden="1">
      <c r="B184" s="1">
        <v>108</v>
      </c>
      <c r="C184" s="21">
        <f t="shared" si="7"/>
        <v>423.5747876422741</v>
      </c>
      <c r="D184" s="14">
        <f t="shared" si="9"/>
        <v>252</v>
      </c>
      <c r="E184" s="15">
        <f t="shared" si="10"/>
        <v>116.04014848209167</v>
      </c>
      <c r="F184" s="11">
        <f t="shared" si="8"/>
        <v>307.53463916018245</v>
      </c>
      <c r="G184" s="12">
        <f t="shared" si="11"/>
        <v>94577.55428338362</v>
      </c>
      <c r="H184" s="13">
        <f t="shared" si="12"/>
        <v>0.17111195810048238</v>
      </c>
      <c r="I184" s="12">
        <f t="shared" si="13"/>
        <v>0</v>
      </c>
    </row>
    <row r="185" spans="2:9" ht="12.75" hidden="1">
      <c r="B185" s="1">
        <v>109</v>
      </c>
      <c r="C185" s="21">
        <f t="shared" si="7"/>
        <v>420.09310811572175</v>
      </c>
      <c r="D185" s="14">
        <f t="shared" si="9"/>
        <v>251</v>
      </c>
      <c r="E185" s="15">
        <f t="shared" si="10"/>
        <v>116.50881009621548</v>
      </c>
      <c r="F185" s="11">
        <f t="shared" si="8"/>
        <v>303.58429801950626</v>
      </c>
      <c r="G185" s="12">
        <f t="shared" si="11"/>
        <v>92163.4260039964</v>
      </c>
      <c r="H185" s="13">
        <f t="shared" si="12"/>
        <v>0.17111195810048238</v>
      </c>
      <c r="I185" s="12">
        <f t="shared" si="13"/>
        <v>0</v>
      </c>
    </row>
    <row r="186" spans="2:9" ht="12.75" hidden="1">
      <c r="B186" s="1">
        <v>110</v>
      </c>
      <c r="C186" s="21">
        <f t="shared" si="7"/>
        <v>416.6749795546665</v>
      </c>
      <c r="D186" s="14">
        <f t="shared" si="9"/>
        <v>250</v>
      </c>
      <c r="E186" s="15">
        <f t="shared" si="10"/>
        <v>116.9811945513841</v>
      </c>
      <c r="F186" s="11">
        <f t="shared" si="8"/>
        <v>299.6937850032824</v>
      </c>
      <c r="G186" s="12">
        <f t="shared" si="11"/>
        <v>89816.36476959367</v>
      </c>
      <c r="H186" s="13">
        <f t="shared" si="12"/>
        <v>0.17111195810048238</v>
      </c>
      <c r="I186" s="12">
        <f t="shared" si="13"/>
        <v>0</v>
      </c>
    </row>
    <row r="187" spans="2:9" ht="12.75" hidden="1">
      <c r="B187" s="1">
        <v>111</v>
      </c>
      <c r="C187" s="21">
        <f t="shared" si="7"/>
        <v>413.31868434400434</v>
      </c>
      <c r="D187" s="14">
        <f t="shared" si="9"/>
        <v>249</v>
      </c>
      <c r="E187" s="15">
        <f t="shared" si="10"/>
        <v>117.45734669488176</v>
      </c>
      <c r="F187" s="11">
        <f t="shared" si="8"/>
        <v>295.86133764912256</v>
      </c>
      <c r="G187" s="12">
        <f t="shared" si="11"/>
        <v>87533.9311155281</v>
      </c>
      <c r="H187" s="13">
        <f t="shared" si="12"/>
        <v>0.17111195810048238</v>
      </c>
      <c r="I187" s="12">
        <f t="shared" si="13"/>
        <v>0</v>
      </c>
    </row>
    <row r="188" spans="2:9" ht="12.75" hidden="1">
      <c r="B188" s="1">
        <v>112</v>
      </c>
      <c r="C188" s="21">
        <f t="shared" si="7"/>
        <v>410.0225662118404</v>
      </c>
      <c r="D188" s="14">
        <f t="shared" si="9"/>
        <v>248</v>
      </c>
      <c r="E188" s="15">
        <f t="shared" si="10"/>
        <v>117.93731209736112</v>
      </c>
      <c r="F188" s="11">
        <f t="shared" si="8"/>
        <v>292.0852541144793</v>
      </c>
      <c r="G188" s="12">
        <f t="shared" si="11"/>
        <v>85313.79567111995</v>
      </c>
      <c r="H188" s="13">
        <f t="shared" si="12"/>
        <v>0.17111195810048238</v>
      </c>
      <c r="I188" s="12">
        <f t="shared" si="13"/>
        <v>0</v>
      </c>
    </row>
    <row r="189" spans="2:9" ht="12.75" hidden="1">
      <c r="B189" s="1">
        <v>113</v>
      </c>
      <c r="C189" s="21">
        <f t="shared" si="7"/>
        <v>406.7850275151802</v>
      </c>
      <c r="D189" s="14">
        <f t="shared" si="9"/>
        <v>247</v>
      </c>
      <c r="E189" s="15">
        <f t="shared" si="10"/>
        <v>118.42113706748606</v>
      </c>
      <c r="F189" s="11">
        <f t="shared" si="8"/>
        <v>288.3638904476942</v>
      </c>
      <c r="G189" s="12">
        <f t="shared" si="11"/>
        <v>83153.73331412977</v>
      </c>
      <c r="H189" s="13">
        <f t="shared" si="12"/>
        <v>0.17111195810048238</v>
      </c>
      <c r="I189" s="12">
        <f t="shared" si="13"/>
        <v>0</v>
      </c>
    </row>
    <row r="190" spans="2:9" ht="12.75" hidden="1">
      <c r="B190" s="1">
        <v>114</v>
      </c>
      <c r="C190" s="21">
        <f t="shared" si="7"/>
        <v>403.60452666849085</v>
      </c>
      <c r="D190" s="14">
        <f t="shared" si="9"/>
        <v>246</v>
      </c>
      <c r="E190" s="15">
        <f t="shared" si="10"/>
        <v>118.90886866693205</v>
      </c>
      <c r="F190" s="11">
        <f t="shared" si="8"/>
        <v>284.6956580015588</v>
      </c>
      <c r="G190" s="12">
        <f t="shared" si="11"/>
        <v>81051.61768494053</v>
      </c>
      <c r="H190" s="13">
        <f t="shared" si="12"/>
        <v>0.17111195810048238</v>
      </c>
      <c r="I190" s="12">
        <f t="shared" si="13"/>
        <v>0</v>
      </c>
    </row>
    <row r="191" spans="2:9" ht="12.75" hidden="1">
      <c r="B191" s="1">
        <v>115</v>
      </c>
      <c r="C191" s="21">
        <f t="shared" si="7"/>
        <v>400.47957570641904</v>
      </c>
      <c r="D191" s="14">
        <f t="shared" si="9"/>
        <v>245</v>
      </c>
      <c r="E191" s="15">
        <f t="shared" si="10"/>
        <v>119.40055472575371</v>
      </c>
      <c r="F191" s="11">
        <f t="shared" si="8"/>
        <v>281.07902098066535</v>
      </c>
      <c r="G191" s="12">
        <f t="shared" si="11"/>
        <v>79005.4160354493</v>
      </c>
      <c r="H191" s="13">
        <f t="shared" si="12"/>
        <v>0.17111195810048238</v>
      </c>
      <c r="I191" s="12">
        <f t="shared" si="13"/>
        <v>0</v>
      </c>
    </row>
    <row r="192" spans="2:9" ht="12.75" hidden="1">
      <c r="B192" s="1">
        <v>116</v>
      </c>
      <c r="C192" s="21">
        <f t="shared" si="7"/>
        <v>397.4087379725772</v>
      </c>
      <c r="D192" s="14">
        <f t="shared" si="9"/>
        <v>244</v>
      </c>
      <c r="E192" s="15">
        <f t="shared" si="10"/>
        <v>119.89624385813057</v>
      </c>
      <c r="F192" s="11">
        <f t="shared" si="8"/>
        <v>277.51249411444667</v>
      </c>
      <c r="G192" s="12">
        <f t="shared" si="11"/>
        <v>77013.1843896208</v>
      </c>
      <c r="H192" s="13">
        <f t="shared" si="12"/>
        <v>0.17111195810048238</v>
      </c>
      <c r="I192" s="12">
        <f t="shared" si="13"/>
        <v>0</v>
      </c>
    </row>
    <row r="193" spans="2:9" ht="12.75" hidden="1">
      <c r="B193" s="1">
        <v>117</v>
      </c>
      <c r="C193" s="21">
        <f t="shared" si="7"/>
        <v>394.39062592685116</v>
      </c>
      <c r="D193" s="14">
        <f t="shared" si="9"/>
        <v>243</v>
      </c>
      <c r="E193" s="15">
        <f t="shared" si="10"/>
        <v>120.39598547850069</v>
      </c>
      <c r="F193" s="11">
        <f t="shared" si="8"/>
        <v>273.9946404483505</v>
      </c>
      <c r="G193" s="12">
        <f t="shared" si="11"/>
        <v>75073.06299442086</v>
      </c>
      <c r="H193" s="13">
        <f t="shared" si="12"/>
        <v>0.17111195810048238</v>
      </c>
      <c r="I193" s="12">
        <f t="shared" si="13"/>
        <v>0</v>
      </c>
    </row>
    <row r="194" spans="2:9" ht="12.75" hidden="1">
      <c r="B194" s="1">
        <v>118</v>
      </c>
      <c r="C194" s="21">
        <f t="shared" si="7"/>
        <v>391.4238990642049</v>
      </c>
      <c r="D194" s="14">
        <f t="shared" si="9"/>
        <v>242</v>
      </c>
      <c r="E194" s="15">
        <f t="shared" si="10"/>
        <v>120.89982981809572</v>
      </c>
      <c r="F194" s="11">
        <f t="shared" si="8"/>
        <v>270.52406924610915</v>
      </c>
      <c r="G194" s="12">
        <f t="shared" si="11"/>
        <v>73183.27204147365</v>
      </c>
      <c r="H194" s="13">
        <f t="shared" si="12"/>
        <v>0.17111195810048238</v>
      </c>
      <c r="I194" s="12">
        <f t="shared" si="13"/>
        <v>0</v>
      </c>
    </row>
    <row r="195" spans="2:9" ht="12.75" hidden="1">
      <c r="B195" s="1">
        <v>119</v>
      </c>
      <c r="C195" s="21">
        <f t="shared" si="7"/>
        <v>388.5072619384123</v>
      </c>
      <c r="D195" s="14">
        <f t="shared" si="9"/>
        <v>241</v>
      </c>
      <c r="E195" s="15">
        <f t="shared" si="10"/>
        <v>121.4078279418861</v>
      </c>
      <c r="F195" s="11">
        <f t="shared" si="8"/>
        <v>267.09943399652616</v>
      </c>
      <c r="G195" s="12">
        <f t="shared" si="11"/>
        <v>71342.10764126464</v>
      </c>
      <c r="H195" s="13">
        <f t="shared" si="12"/>
        <v>0.17111195810048238</v>
      </c>
      <c r="I195" s="12">
        <f t="shared" si="13"/>
        <v>0</v>
      </c>
    </row>
    <row r="196" spans="2:9" ht="12.75" hidden="1">
      <c r="B196" s="1">
        <v>120</v>
      </c>
      <c r="C196" s="21">
        <f t="shared" si="7"/>
        <v>385.639462284612</v>
      </c>
      <c r="D196" s="14">
        <f t="shared" si="9"/>
        <v>240</v>
      </c>
      <c r="E196" s="15">
        <f t="shared" si="10"/>
        <v>121.92003176595132</v>
      </c>
      <c r="F196" s="11">
        <f t="shared" si="8"/>
        <v>263.7194305186607</v>
      </c>
      <c r="G196" s="12">
        <f t="shared" si="11"/>
        <v>69547.93803308671</v>
      </c>
      <c r="H196" s="13">
        <f t="shared" si="12"/>
        <v>0.17111195810048238</v>
      </c>
      <c r="I196" s="12">
        <f t="shared" si="13"/>
        <v>0</v>
      </c>
    </row>
    <row r="197" spans="2:9" ht="12.75" hidden="1">
      <c r="B197" s="1">
        <v>121</v>
      </c>
      <c r="C197" s="21">
        <f t="shared" si="7"/>
        <v>382.8192892349498</v>
      </c>
      <c r="D197" s="14">
        <f t="shared" si="9"/>
        <v>239</v>
      </c>
      <c r="E197" s="15">
        <f t="shared" si="10"/>
        <v>122.43649407528501</v>
      </c>
      <c r="F197" s="11">
        <f t="shared" si="8"/>
        <v>260.3827951596648</v>
      </c>
      <c r="G197" s="12">
        <f t="shared" si="11"/>
        <v>67799.20001515995</v>
      </c>
      <c r="H197" s="13">
        <f t="shared" si="12"/>
        <v>0.17111195810048238</v>
      </c>
      <c r="I197" s="12">
        <f t="shared" si="13"/>
        <v>0</v>
      </c>
    </row>
    <row r="198" spans="2:9" ht="12.75" hidden="1">
      <c r="B198" s="1">
        <v>122</v>
      </c>
      <c r="C198" s="21">
        <f t="shared" si="7"/>
        <v>380.045571621983</v>
      </c>
      <c r="D198" s="14">
        <f t="shared" si="9"/>
        <v>238</v>
      </c>
      <c r="E198" s="15">
        <f t="shared" si="10"/>
        <v>122.95726854204986</v>
      </c>
      <c r="F198" s="11">
        <f t="shared" si="8"/>
        <v>257.08830307993316</v>
      </c>
      <c r="G198" s="12">
        <f t="shared" si="11"/>
        <v>66094.39558051957</v>
      </c>
      <c r="H198" s="13">
        <f t="shared" si="12"/>
        <v>0.17111195810048238</v>
      </c>
      <c r="I198" s="12">
        <f t="shared" si="13"/>
        <v>0</v>
      </c>
    </row>
    <row r="199" spans="2:9" ht="12.75" hidden="1">
      <c r="B199" s="1">
        <v>123</v>
      </c>
      <c r="C199" s="21">
        <f t="shared" si="7"/>
        <v>377.3171763648382</v>
      </c>
      <c r="D199" s="14">
        <f t="shared" si="9"/>
        <v>237</v>
      </c>
      <c r="E199" s="15">
        <f t="shared" si="10"/>
        <v>123.48240974429389</v>
      </c>
      <c r="F199" s="11">
        <f t="shared" si="8"/>
        <v>253.83476662054431</v>
      </c>
      <c r="G199" s="12">
        <f t="shared" si="11"/>
        <v>64432.088745306195</v>
      </c>
      <c r="H199" s="13">
        <f t="shared" si="12"/>
        <v>0.17111195810048238</v>
      </c>
      <c r="I199" s="12">
        <f t="shared" si="13"/>
        <v>0</v>
      </c>
    </row>
    <row r="200" spans="2:9" ht="12.75" hidden="1">
      <c r="B200" s="1">
        <v>124</v>
      </c>
      <c r="C200" s="21">
        <f t="shared" si="7"/>
        <v>374.6330069334682</v>
      </c>
      <c r="D200" s="14">
        <f t="shared" si="9"/>
        <v>236</v>
      </c>
      <c r="E200" s="15">
        <f t="shared" si="10"/>
        <v>124.01197318514343</v>
      </c>
      <c r="F200" s="11">
        <f t="shared" si="8"/>
        <v>250.62103374832478</v>
      </c>
      <c r="G200" s="12">
        <f t="shared" si="11"/>
        <v>62810.902557078945</v>
      </c>
      <c r="H200" s="13">
        <f t="shared" si="12"/>
        <v>0.17111195810048238</v>
      </c>
      <c r="I200" s="12">
        <f t="shared" si="13"/>
        <v>0</v>
      </c>
    </row>
    <row r="201" spans="2:9" ht="12.75" hidden="1">
      <c r="B201" s="1">
        <v>125</v>
      </c>
      <c r="C201" s="21">
        <f t="shared" si="7"/>
        <v>371.99200188661433</v>
      </c>
      <c r="D201" s="14">
        <f t="shared" si="9"/>
        <v>235</v>
      </c>
      <c r="E201" s="15">
        <f t="shared" si="10"/>
        <v>124.54601531248501</v>
      </c>
      <c r="F201" s="11">
        <f t="shared" si="8"/>
        <v>247.44598657412934</v>
      </c>
      <c r="G201" s="12">
        <f t="shared" si="11"/>
        <v>61229.51627164419</v>
      </c>
      <c r="H201" s="13">
        <f t="shared" si="12"/>
        <v>0.17111195810048238</v>
      </c>
      <c r="I201" s="12">
        <f t="shared" si="13"/>
        <v>0</v>
      </c>
    </row>
    <row r="202" spans="2:9" ht="12.75" hidden="1">
      <c r="B202" s="1">
        <v>126</v>
      </c>
      <c r="C202" s="21">
        <f t="shared" si="7"/>
        <v>369.3931334793978</v>
      </c>
      <c r="D202" s="14">
        <f t="shared" si="9"/>
        <v>234</v>
      </c>
      <c r="E202" s="15">
        <f t="shared" si="10"/>
        <v>125.08459353915335</v>
      </c>
      <c r="F202" s="11">
        <f t="shared" si="8"/>
        <v>244.3085399402445</v>
      </c>
      <c r="G202" s="12">
        <f t="shared" si="11"/>
        <v>59686.66268773404</v>
      </c>
      <c r="H202" s="13">
        <f t="shared" si="12"/>
        <v>0.17111195810048238</v>
      </c>
      <c r="I202" s="12">
        <f t="shared" si="13"/>
        <v>0</v>
      </c>
    </row>
    <row r="203" spans="2:9" ht="12.75" hidden="1">
      <c r="B203" s="1">
        <v>127</v>
      </c>
      <c r="C203" s="21">
        <f t="shared" si="7"/>
        <v>366.8354063366862</v>
      </c>
      <c r="D203" s="14">
        <f t="shared" si="9"/>
        <v>233</v>
      </c>
      <c r="E203" s="15">
        <f t="shared" si="10"/>
        <v>125.6277662636376</v>
      </c>
      <c r="F203" s="11">
        <f t="shared" si="8"/>
        <v>241.20764007304862</v>
      </c>
      <c r="G203" s="12">
        <f t="shared" si="11"/>
        <v>58181.12562960937</v>
      </c>
      <c r="H203" s="13">
        <f t="shared" si="12"/>
        <v>0.17111195810048238</v>
      </c>
      <c r="I203" s="12">
        <f t="shared" si="13"/>
        <v>0</v>
      </c>
    </row>
    <row r="204" spans="2:9" ht="12.75" hidden="1">
      <c r="B204" s="1">
        <v>128</v>
      </c>
      <c r="C204" s="21">
        <f t="shared" si="7"/>
        <v>364.31785618865626</v>
      </c>
      <c r="D204" s="14">
        <f t="shared" si="9"/>
        <v>232</v>
      </c>
      <c r="E204" s="15">
        <f t="shared" si="10"/>
        <v>126.17559289132444</v>
      </c>
      <c r="F204" s="11">
        <f t="shared" si="8"/>
        <v>238.14226329733182</v>
      </c>
      <c r="G204" s="12">
        <f t="shared" si="11"/>
        <v>56711.73756837571</v>
      </c>
      <c r="H204" s="13">
        <f t="shared" si="12"/>
        <v>0.17111195810048238</v>
      </c>
      <c r="I204" s="12">
        <f t="shared" si="13"/>
        <v>0</v>
      </c>
    </row>
    <row r="205" spans="2:9" ht="12.75" hidden="1">
      <c r="B205" s="1">
        <v>129</v>
      </c>
      <c r="C205" s="21">
        <f aca="true" t="shared" si="14" ref="C205:C268">($F$25/12)*POWER((($F$25/12)+1),B205)/(POWER((($F$25/12)+1),B205)-1)*$F$27</f>
        <v>361.8395486651566</v>
      </c>
      <c r="D205" s="14">
        <f t="shared" si="9"/>
        <v>231</v>
      </c>
      <c r="E205" s="15">
        <f t="shared" si="10"/>
        <v>126.72813385629253</v>
      </c>
      <c r="F205" s="11">
        <f aca="true" t="shared" si="15" ref="F205:F268">C205-E205</f>
        <v>235.11141480886408</v>
      </c>
      <c r="G205" s="12">
        <f t="shared" si="11"/>
        <v>55277.377373425756</v>
      </c>
      <c r="H205" s="13">
        <f t="shared" si="12"/>
        <v>0.17111195810048238</v>
      </c>
      <c r="I205" s="12">
        <f t="shared" si="13"/>
        <v>0</v>
      </c>
    </row>
    <row r="206" spans="2:9" ht="12.75" hidden="1">
      <c r="B206" s="1">
        <v>130</v>
      </c>
      <c r="C206" s="21">
        <f t="shared" si="14"/>
        <v>359.399578145723</v>
      </c>
      <c r="D206" s="14">
        <f aca="true" t="shared" si="16" ref="D206:D269">IF($F$50-B206=0,1,$F$50-B206)</f>
        <v>230</v>
      </c>
      <c r="E206" s="15">
        <f aca="true" t="shared" si="17" ref="E206:E269">(2%/12)*POWER(((2%/12)+1),D206)/(POWER(((2%/12)+1),D206)-1)*(($E$11+$E$12)+((POWER((1+1/100),(($C$28*12+B206)/12))-1)*($E$11+$E$12)))</f>
        <v>127.28545064367492</v>
      </c>
      <c r="F206" s="11">
        <f t="shared" si="15"/>
        <v>232.1141275020481</v>
      </c>
      <c r="G206" s="12">
        <f aca="true" t="shared" si="18" ref="G206:G269">F206*F206</f>
        <v>53876.96818603704</v>
      </c>
      <c r="H206" s="13">
        <f aca="true" t="shared" si="19" ref="H206:H269">MIN($G$77:$G$434)</f>
        <v>0.17111195810048238</v>
      </c>
      <c r="I206" s="12">
        <f aca="true" t="shared" si="20" ref="I206:I269">IF(G206=H206,B206,0)</f>
        <v>0</v>
      </c>
    </row>
    <row r="207" spans="2:9" ht="12.75" hidden="1">
      <c r="B207" s="1">
        <v>131</v>
      </c>
      <c r="C207" s="21">
        <f t="shared" si="14"/>
        <v>356.9970666622617</v>
      </c>
      <c r="D207" s="14">
        <f t="shared" si="16"/>
        <v>229</v>
      </c>
      <c r="E207" s="15">
        <f t="shared" si="17"/>
        <v>127.84760581260775</v>
      </c>
      <c r="F207" s="11">
        <f t="shared" si="15"/>
        <v>229.14946084965396</v>
      </c>
      <c r="G207" s="12">
        <f t="shared" si="18"/>
        <v>52509.475407687096</v>
      </c>
      <c r="H207" s="13">
        <f t="shared" si="19"/>
        <v>0.17111195810048238</v>
      </c>
      <c r="I207" s="12">
        <f t="shared" si="20"/>
        <v>0</v>
      </c>
    </row>
    <row r="208" spans="2:9" ht="12.75" hidden="1">
      <c r="B208" s="1">
        <v>132</v>
      </c>
      <c r="C208" s="21">
        <f t="shared" si="14"/>
        <v>354.631162851611</v>
      </c>
      <c r="D208" s="14">
        <f t="shared" si="16"/>
        <v>228</v>
      </c>
      <c r="E208" s="15">
        <f t="shared" si="17"/>
        <v>128.41466301978383</v>
      </c>
      <c r="F208" s="11">
        <f t="shared" si="15"/>
        <v>226.21649983182718</v>
      </c>
      <c r="G208" s="12">
        <f t="shared" si="18"/>
        <v>51173.904796163064</v>
      </c>
      <c r="H208" s="13">
        <f t="shared" si="19"/>
        <v>0.17111195810048238</v>
      </c>
      <c r="I208" s="12">
        <f t="shared" si="20"/>
        <v>0</v>
      </c>
    </row>
    <row r="209" spans="2:9" ht="12.75" hidden="1">
      <c r="B209" s="1">
        <v>133</v>
      </c>
      <c r="C209" s="21">
        <f t="shared" si="14"/>
        <v>352.3010409553555</v>
      </c>
      <c r="D209" s="14">
        <f t="shared" si="16"/>
        <v>227</v>
      </c>
      <c r="E209" s="15">
        <f t="shared" si="17"/>
        <v>128.9866870436271</v>
      </c>
      <c r="F209" s="11">
        <f t="shared" si="15"/>
        <v>223.31435391172843</v>
      </c>
      <c r="G209" s="12">
        <f t="shared" si="18"/>
        <v>49869.3006630127</v>
      </c>
      <c r="H209" s="13">
        <f t="shared" si="19"/>
        <v>0.17111195810048238</v>
      </c>
      <c r="I209" s="12">
        <f t="shared" si="20"/>
        <v>0</v>
      </c>
    </row>
    <row r="210" spans="2:9" ht="12.75" hidden="1">
      <c r="B210" s="1">
        <v>134</v>
      </c>
      <c r="C210" s="21">
        <f t="shared" si="14"/>
        <v>350.00589986442657</v>
      </c>
      <c r="D210" s="14">
        <f t="shared" si="16"/>
        <v>226</v>
      </c>
      <c r="E210" s="15">
        <f t="shared" si="17"/>
        <v>129.5637438091099</v>
      </c>
      <c r="F210" s="11">
        <f t="shared" si="15"/>
        <v>220.44215605531667</v>
      </c>
      <c r="G210" s="12">
        <f t="shared" si="18"/>
        <v>48594.74416631659</v>
      </c>
      <c r="H210" s="13">
        <f t="shared" si="19"/>
        <v>0.17111195810048238</v>
      </c>
      <c r="I210" s="12">
        <f t="shared" si="20"/>
        <v>0</v>
      </c>
    </row>
    <row r="211" spans="2:9" ht="12.75" hidden="1">
      <c r="B211" s="1">
        <v>135</v>
      </c>
      <c r="C211" s="21">
        <f t="shared" si="14"/>
        <v>347.7449622061618</v>
      </c>
      <c r="D211" s="14">
        <f t="shared" si="16"/>
        <v>225</v>
      </c>
      <c r="E211" s="15">
        <f t="shared" si="17"/>
        <v>130.1459004132319</v>
      </c>
      <c r="F211" s="11">
        <f t="shared" si="15"/>
        <v>217.5990617929299</v>
      </c>
      <c r="G211" s="12">
        <f t="shared" si="18"/>
        <v>47349.35169316332</v>
      </c>
      <c r="H211" s="13">
        <f t="shared" si="19"/>
        <v>0.17111195810048238</v>
      </c>
      <c r="I211" s="12">
        <f t="shared" si="20"/>
        <v>0</v>
      </c>
    </row>
    <row r="212" spans="2:9" ht="12.75" hidden="1">
      <c r="B212" s="1">
        <v>136</v>
      </c>
      <c r="C212" s="21">
        <f t="shared" si="14"/>
        <v>345.51747347164417</v>
      </c>
      <c r="D212" s="14">
        <f t="shared" si="16"/>
        <v>224</v>
      </c>
      <c r="E212" s="15">
        <f t="shared" si="17"/>
        <v>130.7332251511817</v>
      </c>
      <c r="F212" s="11">
        <f t="shared" si="15"/>
        <v>214.78424832046247</v>
      </c>
      <c r="G212" s="12">
        <f t="shared" si="18"/>
        <v>46132.27332658608</v>
      </c>
      <c r="H212" s="13">
        <f t="shared" si="19"/>
        <v>0.17111195810048238</v>
      </c>
      <c r="I212" s="12">
        <f t="shared" si="20"/>
        <v>0</v>
      </c>
    </row>
    <row r="213" spans="2:9" ht="12.75" hidden="1">
      <c r="B213" s="1">
        <v>137</v>
      </c>
      <c r="C213" s="21">
        <f t="shared" si="14"/>
        <v>343.3227011812593</v>
      </c>
      <c r="D213" s="14">
        <f t="shared" si="16"/>
        <v>223</v>
      </c>
      <c r="E213" s="15">
        <f t="shared" si="17"/>
        <v>131.32578754320156</v>
      </c>
      <c r="F213" s="11">
        <f t="shared" si="15"/>
        <v>211.99691363805772</v>
      </c>
      <c r="G213" s="12">
        <f t="shared" si="18"/>
        <v>44942.6913920621</v>
      </c>
      <c r="H213" s="13">
        <f t="shared" si="19"/>
        <v>0.17111195810048238</v>
      </c>
      <c r="I213" s="12">
        <f t="shared" si="20"/>
        <v>0</v>
      </c>
    </row>
    <row r="214" spans="2:9" ht="12.75" hidden="1">
      <c r="B214" s="1">
        <v>138</v>
      </c>
      <c r="C214" s="21">
        <f t="shared" si="14"/>
        <v>341.1599340865315</v>
      </c>
      <c r="D214" s="14">
        <f t="shared" si="16"/>
        <v>222</v>
      </c>
      <c r="E214" s="15">
        <f t="shared" si="17"/>
        <v>131.92365836217888</v>
      </c>
      <c r="F214" s="11">
        <f t="shared" si="15"/>
        <v>209.23627572435262</v>
      </c>
      <c r="G214" s="12">
        <f t="shared" si="18"/>
        <v>43779.819078997316</v>
      </c>
      <c r="H214" s="13">
        <f t="shared" si="19"/>
        <v>0.17111195810048238</v>
      </c>
      <c r="I214" s="12">
        <f t="shared" si="20"/>
        <v>0</v>
      </c>
    </row>
    <row r="215" spans="2:9" ht="12.75" hidden="1">
      <c r="B215" s="1">
        <v>139</v>
      </c>
      <c r="C215" s="21">
        <f t="shared" si="14"/>
        <v>339.02848140641305</v>
      </c>
      <c r="D215" s="14">
        <f t="shared" si="16"/>
        <v>221</v>
      </c>
      <c r="E215" s="15">
        <f t="shared" si="17"/>
        <v>132.5269096619868</v>
      </c>
      <c r="F215" s="11">
        <f t="shared" si="15"/>
        <v>206.50157174442626</v>
      </c>
      <c r="G215" s="12">
        <f t="shared" si="18"/>
        <v>42642.89913291843</v>
      </c>
      <c r="H215" s="13">
        <f t="shared" si="19"/>
        <v>0.17111195810048238</v>
      </c>
      <c r="I215" s="12">
        <f t="shared" si="20"/>
        <v>0</v>
      </c>
    </row>
    <row r="216" spans="2:9" ht="12.75" hidden="1">
      <c r="B216" s="1">
        <v>140</v>
      </c>
      <c r="C216" s="21">
        <f t="shared" si="14"/>
        <v>336.9276720963068</v>
      </c>
      <c r="D216" s="14">
        <f t="shared" si="16"/>
        <v>220</v>
      </c>
      <c r="E216" s="15">
        <f t="shared" si="17"/>
        <v>133.13561480659757</v>
      </c>
      <c r="F216" s="11">
        <f t="shared" si="15"/>
        <v>203.79205728970925</v>
      </c>
      <c r="G216" s="12">
        <f t="shared" si="18"/>
        <v>41531.20261437214</v>
      </c>
      <c r="H216" s="13">
        <f t="shared" si="19"/>
        <v>0.17111195810048238</v>
      </c>
      <c r="I216" s="12">
        <f t="shared" si="20"/>
        <v>0</v>
      </c>
    </row>
    <row r="217" spans="2:9" ht="12.75" hidden="1">
      <c r="B217" s="1">
        <v>141</v>
      </c>
      <c r="C217" s="21">
        <f t="shared" si="14"/>
        <v>334.8568541481905</v>
      </c>
      <c r="D217" s="14">
        <f t="shared" si="16"/>
        <v>219</v>
      </c>
      <c r="E217" s="15">
        <f t="shared" si="17"/>
        <v>133.74984849999305</v>
      </c>
      <c r="F217" s="11">
        <f t="shared" si="15"/>
        <v>201.10700564819746</v>
      </c>
      <c r="G217" s="12">
        <f t="shared" si="18"/>
        <v>40444.02772078412</v>
      </c>
      <c r="H217" s="13">
        <f t="shared" si="19"/>
        <v>0.17111195810048238</v>
      </c>
      <c r="I217" s="12">
        <f t="shared" si="20"/>
        <v>0</v>
      </c>
    </row>
    <row r="218" spans="2:9" ht="12.75" hidden="1">
      <c r="B218" s="1">
        <v>142</v>
      </c>
      <c r="C218" s="21">
        <f t="shared" si="14"/>
        <v>332.81539392031624</v>
      </c>
      <c r="D218" s="14">
        <f t="shared" si="16"/>
        <v>218</v>
      </c>
      <c r="E218" s="15">
        <f t="shared" si="17"/>
        <v>134.3696868168993</v>
      </c>
      <c r="F218" s="11">
        <f t="shared" si="15"/>
        <v>198.44570710341694</v>
      </c>
      <c r="G218" s="12">
        <f t="shared" si="18"/>
        <v>39380.69866777514</v>
      </c>
      <c r="H218" s="13">
        <f t="shared" si="19"/>
        <v>0.17111195810048238</v>
      </c>
      <c r="I218" s="12">
        <f t="shared" si="20"/>
        <v>0</v>
      </c>
    </row>
    <row r="219" spans="2:9" ht="12.75" hidden="1">
      <c r="B219" s="1">
        <v>143</v>
      </c>
      <c r="C219" s="21">
        <f t="shared" si="14"/>
        <v>330.8026754950302</v>
      </c>
      <c r="D219" s="14">
        <f t="shared" si="16"/>
        <v>217</v>
      </c>
      <c r="E219" s="15">
        <f t="shared" si="17"/>
        <v>134.99520723437044</v>
      </c>
      <c r="F219" s="11">
        <f t="shared" si="15"/>
        <v>195.80746826065976</v>
      </c>
      <c r="G219" s="12">
        <f t="shared" si="18"/>
        <v>38340.56462664928</v>
      </c>
      <c r="H219" s="13">
        <f t="shared" si="19"/>
        <v>0.17111195810048238</v>
      </c>
      <c r="I219" s="12">
        <f t="shared" si="20"/>
        <v>0</v>
      </c>
    </row>
    <row r="220" spans="2:9" ht="12.75" hidden="1">
      <c r="B220" s="1">
        <v>144</v>
      </c>
      <c r="C220" s="21">
        <f t="shared" si="14"/>
        <v>328.8181000633572</v>
      </c>
      <c r="D220" s="14">
        <f t="shared" si="16"/>
        <v>216</v>
      </c>
      <c r="E220" s="15">
        <f t="shared" si="17"/>
        <v>135.62648866424982</v>
      </c>
      <c r="F220" s="11">
        <f t="shared" si="15"/>
        <v>193.19161139910736</v>
      </c>
      <c r="G220" s="12">
        <f t="shared" si="18"/>
        <v>37322.99871498371</v>
      </c>
      <c r="H220" s="13">
        <f t="shared" si="19"/>
        <v>0.17111195810048238</v>
      </c>
      <c r="I220" s="12">
        <f t="shared" si="20"/>
        <v>0</v>
      </c>
    </row>
    <row r="221" spans="2:9" ht="12.75" hidden="1">
      <c r="B221" s="1">
        <v>145</v>
      </c>
      <c r="C221" s="21">
        <f t="shared" si="14"/>
        <v>326.86108533504245</v>
      </c>
      <c r="D221" s="14">
        <f t="shared" si="16"/>
        <v>215</v>
      </c>
      <c r="E221" s="15">
        <f t="shared" si="17"/>
        <v>136.2636114865377</v>
      </c>
      <c r="F221" s="11">
        <f t="shared" si="15"/>
        <v>190.59747384850473</v>
      </c>
      <c r="G221" s="12">
        <f t="shared" si="18"/>
        <v>36327.397037431445</v>
      </c>
      <c r="H221" s="13">
        <f t="shared" si="19"/>
        <v>0.17111195810048238</v>
      </c>
      <c r="I221" s="12">
        <f t="shared" si="20"/>
        <v>0</v>
      </c>
    </row>
    <row r="222" spans="2:9" ht="12.75" hidden="1">
      <c r="B222" s="1">
        <v>146</v>
      </c>
      <c r="C222" s="21">
        <f t="shared" si="14"/>
        <v>324.9310649728442</v>
      </c>
      <c r="D222" s="14">
        <f t="shared" si="16"/>
        <v>214</v>
      </c>
      <c r="E222" s="15">
        <f t="shared" si="17"/>
        <v>136.9066575836934</v>
      </c>
      <c r="F222" s="11">
        <f t="shared" si="15"/>
        <v>188.02440738915078</v>
      </c>
      <c r="G222" s="12">
        <f t="shared" si="18"/>
        <v>35353.17777404134</v>
      </c>
      <c r="H222" s="13">
        <f t="shared" si="19"/>
        <v>0.17111195810048238</v>
      </c>
      <c r="I222" s="12">
        <f t="shared" si="20"/>
        <v>0</v>
      </c>
    </row>
    <row r="223" spans="2:9" ht="12.75" hidden="1">
      <c r="B223" s="1">
        <v>147</v>
      </c>
      <c r="C223" s="21">
        <f t="shared" si="14"/>
        <v>323.0274880499128</v>
      </c>
      <c r="D223" s="14">
        <f t="shared" si="16"/>
        <v>213</v>
      </c>
      <c r="E223" s="15">
        <f t="shared" si="17"/>
        <v>137.5557103759044</v>
      </c>
      <c r="F223" s="11">
        <f t="shared" si="15"/>
        <v>185.4717776740084</v>
      </c>
      <c r="G223" s="12">
        <f t="shared" si="18"/>
        <v>34399.780313556796</v>
      </c>
      <c r="H223" s="13">
        <f t="shared" si="19"/>
        <v>0.17111195810048238</v>
      </c>
      <c r="I223" s="12">
        <f t="shared" si="20"/>
        <v>0</v>
      </c>
    </row>
    <row r="224" spans="2:9" ht="12.75" hidden="1">
      <c r="B224" s="1">
        <v>148</v>
      </c>
      <c r="C224" s="21">
        <f t="shared" si="14"/>
        <v>321.1498185291712</v>
      </c>
      <c r="D224" s="14">
        <f t="shared" si="16"/>
        <v>212</v>
      </c>
      <c r="E224" s="15">
        <f t="shared" si="17"/>
        <v>138.21085485735412</v>
      </c>
      <c r="F224" s="11">
        <f t="shared" si="15"/>
        <v>182.9389636718171</v>
      </c>
      <c r="G224" s="12">
        <f t="shared" si="18"/>
        <v>33466.66442931842</v>
      </c>
      <c r="H224" s="13">
        <f t="shared" si="19"/>
        <v>0.17111195810048238</v>
      </c>
      <c r="I224" s="12">
        <f t="shared" si="20"/>
        <v>0</v>
      </c>
    </row>
    <row r="225" spans="2:9" ht="12.75" hidden="1">
      <c r="B225" s="1">
        <v>149</v>
      </c>
      <c r="C225" s="21">
        <f t="shared" si="14"/>
        <v>319.29753476365664</v>
      </c>
      <c r="D225" s="14">
        <f t="shared" si="16"/>
        <v>211</v>
      </c>
      <c r="E225" s="15">
        <f t="shared" si="17"/>
        <v>138.87217763351975</v>
      </c>
      <c r="F225" s="11">
        <f t="shared" si="15"/>
        <v>180.4253571301369</v>
      </c>
      <c r="G225" s="12">
        <f t="shared" si="18"/>
        <v>32553.309495537436</v>
      </c>
      <c r="H225" s="13">
        <f t="shared" si="19"/>
        <v>0.17111195810048238</v>
      </c>
      <c r="I225" s="12">
        <f t="shared" si="20"/>
        <v>0</v>
      </c>
    </row>
    <row r="226" spans="2:9" ht="12.75" hidden="1">
      <c r="B226" s="1">
        <v>150</v>
      </c>
      <c r="C226" s="21">
        <f t="shared" si="14"/>
        <v>317.4701290168512</v>
      </c>
      <c r="D226" s="14">
        <f t="shared" si="16"/>
        <v>210</v>
      </c>
      <c r="E226" s="15">
        <f t="shared" si="17"/>
        <v>139.53976695953654</v>
      </c>
      <c r="F226" s="11">
        <f t="shared" si="15"/>
        <v>177.93036205731468</v>
      </c>
      <c r="G226" s="12">
        <f t="shared" si="18"/>
        <v>31659.21374184709</v>
      </c>
      <c r="H226" s="13">
        <f t="shared" si="19"/>
        <v>0.17111195810048238</v>
      </c>
      <c r="I226" s="12">
        <f t="shared" si="20"/>
        <v>0</v>
      </c>
    </row>
    <row r="227" spans="2:9" ht="12.75" hidden="1">
      <c r="B227" s="1">
        <v>151</v>
      </c>
      <c r="C227" s="21">
        <f t="shared" si="14"/>
        <v>315.66710700207017</v>
      </c>
      <c r="D227" s="14">
        <f t="shared" si="16"/>
        <v>209</v>
      </c>
      <c r="E227" s="15">
        <f t="shared" si="17"/>
        <v>140.21371277966344</v>
      </c>
      <c r="F227" s="11">
        <f t="shared" si="15"/>
        <v>175.45339422240673</v>
      </c>
      <c r="G227" s="12">
        <f t="shared" si="18"/>
        <v>30783.893544163268</v>
      </c>
      <c r="H227" s="13">
        <f t="shared" si="19"/>
        <v>0.17111195810048238</v>
      </c>
      <c r="I227" s="12">
        <f t="shared" si="20"/>
        <v>0</v>
      </c>
    </row>
    <row r="228" spans="2:9" ht="12.75" hidden="1">
      <c r="B228" s="1">
        <v>152</v>
      </c>
      <c r="C228" s="21">
        <f t="shared" si="14"/>
        <v>313.88798744003435</v>
      </c>
      <c r="D228" s="14">
        <f t="shared" si="16"/>
        <v>208</v>
      </c>
      <c r="E228" s="15">
        <f t="shared" si="17"/>
        <v>140.8941067678873</v>
      </c>
      <c r="F228" s="11">
        <f t="shared" si="15"/>
        <v>172.99388067214704</v>
      </c>
      <c r="G228" s="12">
        <f t="shared" si="18"/>
        <v>29926.882750009052</v>
      </c>
      <c r="H228" s="13">
        <f t="shared" si="19"/>
        <v>0.17111195810048238</v>
      </c>
      <c r="I228" s="12">
        <f t="shared" si="20"/>
        <v>0</v>
      </c>
    </row>
    <row r="229" spans="2:9" ht="12.75" hidden="1">
      <c r="B229" s="1">
        <v>153</v>
      </c>
      <c r="C229" s="21">
        <f t="shared" si="14"/>
        <v>312.13230163379086</v>
      </c>
      <c r="D229" s="14">
        <f t="shared" si="16"/>
        <v>207</v>
      </c>
      <c r="E229" s="15">
        <f t="shared" si="17"/>
        <v>141.5810423697032</v>
      </c>
      <c r="F229" s="11">
        <f t="shared" si="15"/>
        <v>170.55125926408766</v>
      </c>
      <c r="G229" s="12">
        <f t="shared" si="18"/>
        <v>29087.73203656605</v>
      </c>
      <c r="H229" s="13">
        <f t="shared" si="19"/>
        <v>0.17111195810048238</v>
      </c>
      <c r="I229" s="12">
        <f t="shared" si="20"/>
        <v>0</v>
      </c>
    </row>
    <row r="230" spans="2:9" ht="12.75" hidden="1">
      <c r="B230" s="1">
        <v>154</v>
      </c>
      <c r="C230" s="21">
        <f t="shared" si="14"/>
        <v>310.3995930601973</v>
      </c>
      <c r="D230" s="14">
        <f t="shared" si="16"/>
        <v>206</v>
      </c>
      <c r="E230" s="15">
        <f t="shared" si="17"/>
        <v>142.27461484511252</v>
      </c>
      <c r="F230" s="11">
        <f t="shared" si="15"/>
        <v>168.12497821508475</v>
      </c>
      <c r="G230" s="12">
        <f t="shared" si="18"/>
        <v>28266.008299822723</v>
      </c>
      <c r="H230" s="13">
        <f t="shared" si="19"/>
        <v>0.17111195810048238</v>
      </c>
      <c r="I230" s="12">
        <f t="shared" si="20"/>
        <v>0</v>
      </c>
    </row>
    <row r="231" spans="2:9" ht="12.75" hidden="1">
      <c r="B231" s="1">
        <v>155</v>
      </c>
      <c r="C231" s="21">
        <f t="shared" si="14"/>
        <v>308.6894169772152</v>
      </c>
      <c r="D231" s="14">
        <f t="shared" si="16"/>
        <v>205</v>
      </c>
      <c r="E231" s="15">
        <f t="shared" si="17"/>
        <v>142.97492131287933</v>
      </c>
      <c r="F231" s="11">
        <f t="shared" si="15"/>
        <v>165.71449566433589</v>
      </c>
      <c r="G231" s="12">
        <f t="shared" si="18"/>
        <v>27461.294073285197</v>
      </c>
      <c r="H231" s="13">
        <f t="shared" si="19"/>
        <v>0.17111195810048238</v>
      </c>
      <c r="I231" s="12">
        <f t="shared" si="20"/>
        <v>0</v>
      </c>
    </row>
    <row r="232" spans="2:9" ht="12.75" hidden="1">
      <c r="B232" s="1">
        <v>156</v>
      </c>
      <c r="C232" s="21">
        <f t="shared" si="14"/>
        <v>307.00134004631497</v>
      </c>
      <c r="D232" s="14">
        <f t="shared" si="16"/>
        <v>204</v>
      </c>
      <c r="E232" s="15">
        <f t="shared" si="17"/>
        <v>143.68206079608814</v>
      </c>
      <c r="F232" s="11">
        <f t="shared" si="15"/>
        <v>163.31927925022683</v>
      </c>
      <c r="G232" s="12">
        <f t="shared" si="18"/>
        <v>26673.186974813572</v>
      </c>
      <c r="H232" s="13">
        <f t="shared" si="19"/>
        <v>0.17111195810048238</v>
      </c>
      <c r="I232" s="12">
        <f t="shared" si="20"/>
        <v>0</v>
      </c>
    </row>
    <row r="233" spans="2:9" ht="12.75" hidden="1">
      <c r="B233" s="1">
        <v>157</v>
      </c>
      <c r="C233" s="21">
        <f t="shared" si="14"/>
        <v>305.3349399693029</v>
      </c>
      <c r="D233" s="14">
        <f t="shared" si="16"/>
        <v>203</v>
      </c>
      <c r="E233" s="15">
        <f t="shared" si="17"/>
        <v>144.39613426904828</v>
      </c>
      <c r="F233" s="11">
        <f t="shared" si="15"/>
        <v>160.93880570025465</v>
      </c>
      <c r="G233" s="12">
        <f t="shared" si="18"/>
        <v>25901.29918022432</v>
      </c>
      <c r="H233" s="13">
        <f t="shared" si="19"/>
        <v>0.17111195810048238</v>
      </c>
      <c r="I233" s="12">
        <f t="shared" si="20"/>
        <v>0</v>
      </c>
    </row>
    <row r="234" spans="2:9" ht="12.75" hidden="1">
      <c r="B234" s="1">
        <v>158</v>
      </c>
      <c r="C234" s="21">
        <f t="shared" si="14"/>
        <v>303.68980513894695</v>
      </c>
      <c r="D234" s="14">
        <f t="shared" si="16"/>
        <v>202</v>
      </c>
      <c r="E234" s="15">
        <f t="shared" si="17"/>
        <v>145.11724470559182</v>
      </c>
      <c r="F234" s="11">
        <f t="shared" si="15"/>
        <v>158.57256043335514</v>
      </c>
      <c r="G234" s="12">
        <f t="shared" si="18"/>
        <v>25145.25692239007</v>
      </c>
      <c r="H234" s="13">
        <f t="shared" si="19"/>
        <v>0.17111195810048238</v>
      </c>
      <c r="I234" s="12">
        <f t="shared" si="20"/>
        <v>0</v>
      </c>
    </row>
    <row r="235" spans="2:9" ht="12.75" hidden="1">
      <c r="B235" s="1">
        <v>159</v>
      </c>
      <c r="C235" s="21">
        <f t="shared" si="14"/>
        <v>302.06553430277864</v>
      </c>
      <c r="D235" s="14">
        <f t="shared" si="16"/>
        <v>201</v>
      </c>
      <c r="E235" s="15">
        <f t="shared" si="17"/>
        <v>145.84549712881278</v>
      </c>
      <c r="F235" s="11">
        <f t="shared" si="15"/>
        <v>156.22003717396586</v>
      </c>
      <c r="G235" s="12">
        <f t="shared" si="18"/>
        <v>24404.700014635277</v>
      </c>
      <c r="H235" s="13">
        <f t="shared" si="19"/>
        <v>0.17111195810048238</v>
      </c>
      <c r="I235" s="12">
        <f t="shared" si="20"/>
        <v>0</v>
      </c>
    </row>
    <row r="236" spans="2:9" ht="12.75" hidden="1">
      <c r="B236" s="1">
        <v>160</v>
      </c>
      <c r="C236" s="21">
        <f t="shared" si="14"/>
        <v>300.46173623951233</v>
      </c>
      <c r="D236" s="14">
        <f t="shared" si="16"/>
        <v>200</v>
      </c>
      <c r="E236" s="15">
        <f t="shared" si="17"/>
        <v>146.58099866229858</v>
      </c>
      <c r="F236" s="11">
        <f t="shared" si="15"/>
        <v>153.88073757721375</v>
      </c>
      <c r="G236" s="12">
        <f t="shared" si="18"/>
        <v>23679.281397307324</v>
      </c>
      <c r="H236" s="13">
        <f t="shared" si="19"/>
        <v>0.17111195810048238</v>
      </c>
      <c r="I236" s="12">
        <f t="shared" si="20"/>
        <v>0</v>
      </c>
    </row>
    <row r="237" spans="2:9" ht="12.75" hidden="1">
      <c r="B237" s="1">
        <v>161</v>
      </c>
      <c r="C237" s="21">
        <f t="shared" si="14"/>
        <v>298.87802944751314</v>
      </c>
      <c r="D237" s="14">
        <f t="shared" si="16"/>
        <v>199</v>
      </c>
      <c r="E237" s="15">
        <f t="shared" si="17"/>
        <v>147.32385858290664</v>
      </c>
      <c r="F237" s="11">
        <f t="shared" si="15"/>
        <v>151.5541708646065</v>
      </c>
      <c r="G237" s="12">
        <f t="shared" si="18"/>
        <v>22968.66670645834</v>
      </c>
      <c r="H237" s="13">
        <f t="shared" si="19"/>
        <v>0.17111195810048238</v>
      </c>
      <c r="I237" s="12">
        <f t="shared" si="20"/>
        <v>0</v>
      </c>
    </row>
    <row r="238" spans="2:9" ht="12.75" hidden="1">
      <c r="B238" s="1">
        <v>162</v>
      </c>
      <c r="C238" s="21">
        <f t="shared" si="14"/>
        <v>297.31404184481016</v>
      </c>
      <c r="D238" s="14">
        <f t="shared" si="16"/>
        <v>198</v>
      </c>
      <c r="E238" s="15">
        <f t="shared" si="17"/>
        <v>148.07418837513947</v>
      </c>
      <c r="F238" s="11">
        <f t="shared" si="15"/>
        <v>149.2398534696707</v>
      </c>
      <c r="G238" s="12">
        <f t="shared" si="18"/>
        <v>22272.53386364878</v>
      </c>
      <c r="H238" s="13">
        <f t="shared" si="19"/>
        <v>0.17111195810048238</v>
      </c>
      <c r="I238" s="12">
        <f t="shared" si="20"/>
        <v>0</v>
      </c>
    </row>
    <row r="239" spans="2:9" ht="12.75" hidden="1">
      <c r="B239" s="1">
        <v>163</v>
      </c>
      <c r="C239" s="21">
        <f t="shared" si="14"/>
        <v>295.7694104801489</v>
      </c>
      <c r="D239" s="14">
        <f t="shared" si="16"/>
        <v>197</v>
      </c>
      <c r="E239" s="15">
        <f t="shared" si="17"/>
        <v>148.83210178717658</v>
      </c>
      <c r="F239" s="11">
        <f t="shared" si="15"/>
        <v>146.93730869297232</v>
      </c>
      <c r="G239" s="12">
        <f t="shared" si="18"/>
        <v>21590.57268593384</v>
      </c>
      <c r="H239" s="13">
        <f t="shared" si="19"/>
        <v>0.17111195810048238</v>
      </c>
      <c r="I239" s="12">
        <f t="shared" si="20"/>
        <v>0</v>
      </c>
    </row>
    <row r="240" spans="2:9" ht="12.75" hidden="1">
      <c r="B240" s="1">
        <v>164</v>
      </c>
      <c r="C240" s="21">
        <f t="shared" si="14"/>
        <v>294.2437812546165</v>
      </c>
      <c r="D240" s="14">
        <f t="shared" si="16"/>
        <v>196</v>
      </c>
      <c r="E240" s="15">
        <f t="shared" si="17"/>
        <v>149.59771488862123</v>
      </c>
      <c r="F240" s="11">
        <f t="shared" si="15"/>
        <v>144.6460663659953</v>
      </c>
      <c r="G240" s="12">
        <f t="shared" si="18"/>
        <v>20922.484515155917</v>
      </c>
      <c r="H240" s="13">
        <f t="shared" si="19"/>
        <v>0.17111195810048238</v>
      </c>
      <c r="I240" s="12">
        <f t="shared" si="20"/>
        <v>0</v>
      </c>
    </row>
    <row r="241" spans="2:9" ht="12.75" hidden="1">
      <c r="B241" s="1">
        <v>165</v>
      </c>
      <c r="C241" s="21">
        <f t="shared" si="14"/>
        <v>292.7368086533885</v>
      </c>
      <c r="D241" s="14">
        <f t="shared" si="16"/>
        <v>195</v>
      </c>
      <c r="E241" s="15">
        <f t="shared" si="17"/>
        <v>150.37114613002421</v>
      </c>
      <c r="F241" s="11">
        <f t="shared" si="15"/>
        <v>142.36566252336428</v>
      </c>
      <c r="G241" s="12">
        <f t="shared" si="18"/>
        <v>20267.981865716447</v>
      </c>
      <c r="H241" s="13">
        <f t="shared" si="19"/>
        <v>0.17111195810048238</v>
      </c>
      <c r="I241" s="12">
        <f t="shared" si="20"/>
        <v>0</v>
      </c>
    </row>
    <row r="242" spans="2:9" ht="12.75" hidden="1">
      <c r="B242" s="1">
        <v>166</v>
      </c>
      <c r="C242" s="21">
        <f t="shared" si="14"/>
        <v>291.2481554871724</v>
      </c>
      <c r="D242" s="14">
        <f t="shared" si="16"/>
        <v>194</v>
      </c>
      <c r="E242" s="15">
        <f t="shared" si="17"/>
        <v>151.15251640424847</v>
      </c>
      <c r="F242" s="11">
        <f t="shared" si="15"/>
        <v>140.09563908292395</v>
      </c>
      <c r="G242" s="12">
        <f t="shared" si="18"/>
        <v>19626.78809005289</v>
      </c>
      <c r="H242" s="13">
        <f t="shared" si="19"/>
        <v>0.17111195810048238</v>
      </c>
      <c r="I242" s="12">
        <f t="shared" si="20"/>
        <v>0</v>
      </c>
    </row>
    <row r="243" spans="2:9" ht="12.75" hidden="1">
      <c r="B243" s="1">
        <v>167</v>
      </c>
      <c r="C243" s="21">
        <f t="shared" si="14"/>
        <v>289.77749264293914</v>
      </c>
      <c r="D243" s="14">
        <f t="shared" si="16"/>
        <v>193</v>
      </c>
      <c r="E243" s="15">
        <f t="shared" si="17"/>
        <v>151.94194910974127</v>
      </c>
      <c r="F243" s="11">
        <f t="shared" si="15"/>
        <v>137.83554353319786</v>
      </c>
      <c r="G243" s="12">
        <f t="shared" si="18"/>
        <v>18998.637061092082</v>
      </c>
      <c r="H243" s="13">
        <f t="shared" si="19"/>
        <v>0.17111195810048238</v>
      </c>
      <c r="I243" s="12">
        <f t="shared" si="20"/>
        <v>0</v>
      </c>
    </row>
    <row r="244" spans="2:9" ht="12.75" hidden="1">
      <c r="B244" s="1">
        <v>168</v>
      </c>
      <c r="C244" s="21">
        <f t="shared" si="14"/>
        <v>288.32449884356055</v>
      </c>
      <c r="D244" s="14">
        <f t="shared" si="16"/>
        <v>192</v>
      </c>
      <c r="E244" s="15">
        <f t="shared" si="17"/>
        <v>152.7395702157841</v>
      </c>
      <c r="F244" s="11">
        <f t="shared" si="15"/>
        <v>135.58492862777643</v>
      </c>
      <c r="G244" s="12">
        <f t="shared" si="18"/>
        <v>18383.27287099923</v>
      </c>
      <c r="H244" s="13">
        <f t="shared" si="19"/>
        <v>0.17111195810048238</v>
      </c>
      <c r="I244" s="12">
        <f t="shared" si="20"/>
        <v>0</v>
      </c>
    </row>
    <row r="245" spans="2:9" ht="12.75" hidden="1">
      <c r="B245" s="1">
        <v>169</v>
      </c>
      <c r="C245" s="21">
        <f t="shared" si="14"/>
        <v>286.88886041597544</v>
      </c>
      <c r="D245" s="14">
        <f t="shared" si="16"/>
        <v>191</v>
      </c>
      <c r="E245" s="15">
        <f t="shared" si="17"/>
        <v>153.54550832979172</v>
      </c>
      <c r="F245" s="11">
        <f t="shared" si="15"/>
        <v>133.34335208618373</v>
      </c>
      <c r="G245" s="12">
        <f t="shared" si="18"/>
        <v>17780.44954557996</v>
      </c>
      <c r="H245" s="13">
        <f t="shared" si="19"/>
        <v>0.17111195810048238</v>
      </c>
      <c r="I245" s="12">
        <f t="shared" si="20"/>
        <v>0</v>
      </c>
    </row>
    <row r="246" spans="2:9" ht="12.75" hidden="1">
      <c r="B246" s="1">
        <v>170</v>
      </c>
      <c r="C246" s="21">
        <f t="shared" si="14"/>
        <v>285.4702710675426</v>
      </c>
      <c r="D246" s="14">
        <f t="shared" si="16"/>
        <v>190</v>
      </c>
      <c r="E246" s="15">
        <f t="shared" si="17"/>
        <v>154.3598947667371</v>
      </c>
      <c r="F246" s="11">
        <f t="shared" si="15"/>
        <v>131.1103763008055</v>
      </c>
      <c r="G246" s="12">
        <f t="shared" si="18"/>
        <v>17189.930773738823</v>
      </c>
      <c r="H246" s="13">
        <f t="shared" si="19"/>
        <v>0.17111195810048238</v>
      </c>
      <c r="I246" s="12">
        <f t="shared" si="20"/>
        <v>0</v>
      </c>
    </row>
    <row r="247" spans="2:9" ht="12.75" hidden="1">
      <c r="B247" s="1">
        <v>171</v>
      </c>
      <c r="C247" s="21">
        <f t="shared" si="14"/>
        <v>284.0684316702373</v>
      </c>
      <c r="D247" s="14">
        <f t="shared" si="16"/>
        <v>189</v>
      </c>
      <c r="E247" s="15">
        <f t="shared" si="17"/>
        <v>155.1828636207795</v>
      </c>
      <c r="F247" s="11">
        <f t="shared" si="15"/>
        <v>128.88556804945782</v>
      </c>
      <c r="G247" s="12">
        <f t="shared" si="18"/>
        <v>16611.48965143142</v>
      </c>
      <c r="H247" s="13">
        <f t="shared" si="19"/>
        <v>0.17111195810048238</v>
      </c>
      <c r="I247" s="12">
        <f t="shared" si="20"/>
        <v>0</v>
      </c>
    </row>
    <row r="248" spans="2:9" ht="12.75" hidden="1">
      <c r="B248" s="1">
        <v>172</v>
      </c>
      <c r="C248" s="21">
        <f t="shared" si="14"/>
        <v>282.6830500523795</v>
      </c>
      <c r="D248" s="14">
        <f t="shared" si="16"/>
        <v>188</v>
      </c>
      <c r="E248" s="15">
        <f t="shared" si="17"/>
        <v>156.01455183917932</v>
      </c>
      <c r="F248" s="11">
        <f t="shared" si="15"/>
        <v>126.66849821320017</v>
      </c>
      <c r="G248" s="12">
        <f t="shared" si="18"/>
        <v>16044.908439587494</v>
      </c>
      <c r="H248" s="13">
        <f t="shared" si="19"/>
        <v>0.17111195810048238</v>
      </c>
      <c r="I248" s="12">
        <f t="shared" si="20"/>
        <v>0</v>
      </c>
    </row>
    <row r="249" spans="2:9" ht="12.75" hidden="1">
      <c r="B249" s="1">
        <v>173</v>
      </c>
      <c r="C249" s="21">
        <f t="shared" si="14"/>
        <v>281.31384079758186</v>
      </c>
      <c r="D249" s="14">
        <f t="shared" si="16"/>
        <v>187</v>
      </c>
      <c r="E249" s="15">
        <f t="shared" si="17"/>
        <v>156.85509929858426</v>
      </c>
      <c r="F249" s="11">
        <f t="shared" si="15"/>
        <v>124.4587414989976</v>
      </c>
      <c r="G249" s="12">
        <f t="shared" si="18"/>
        <v>15489.978335514306</v>
      </c>
      <c r="H249" s="13">
        <f t="shared" si="19"/>
        <v>0.17111195810048238</v>
      </c>
      <c r="I249" s="12">
        <f t="shared" si="20"/>
        <v>0</v>
      </c>
    </row>
    <row r="250" spans="2:9" ht="12.75" hidden="1">
      <c r="B250" s="1">
        <v>174</v>
      </c>
      <c r="C250" s="21">
        <f t="shared" si="14"/>
        <v>279.9605250506341</v>
      </c>
      <c r="D250" s="14">
        <f t="shared" si="16"/>
        <v>186</v>
      </c>
      <c r="E250" s="15">
        <f t="shared" si="17"/>
        <v>157.7046488837761</v>
      </c>
      <c r="F250" s="11">
        <f t="shared" si="15"/>
        <v>122.255876166858</v>
      </c>
      <c r="G250" s="12">
        <f t="shared" si="18"/>
        <v>14946.499257326119</v>
      </c>
      <c r="H250" s="13">
        <f t="shared" si="19"/>
        <v>0.17111195810048238</v>
      </c>
      <c r="I250" s="12">
        <f t="shared" si="20"/>
        <v>0</v>
      </c>
    </row>
    <row r="251" spans="2:9" ht="12.75" hidden="1">
      <c r="B251" s="1">
        <v>175</v>
      </c>
      <c r="C251" s="21">
        <f t="shared" si="14"/>
        <v>278.62283033003763</v>
      </c>
      <c r="D251" s="14">
        <f t="shared" si="16"/>
        <v>185</v>
      </c>
      <c r="E251" s="15">
        <f t="shared" si="17"/>
        <v>158.56334656897187</v>
      </c>
      <c r="F251" s="11">
        <f t="shared" si="15"/>
        <v>120.05948376106576</v>
      </c>
      <c r="G251" s="12">
        <f t="shared" si="18"/>
        <v>14414.279640973613</v>
      </c>
      <c r="H251" s="13">
        <f t="shared" si="19"/>
        <v>0.17111195810048238</v>
      </c>
      <c r="I251" s="12">
        <f t="shared" si="20"/>
        <v>0</v>
      </c>
    </row>
    <row r="252" spans="2:9" ht="12.75" hidden="1">
      <c r="B252" s="1">
        <v>176</v>
      </c>
      <c r="C252" s="21">
        <f t="shared" si="14"/>
        <v>277.30049034693843</v>
      </c>
      <c r="D252" s="14">
        <f t="shared" si="16"/>
        <v>184</v>
      </c>
      <c r="E252" s="15">
        <f t="shared" si="17"/>
        <v>159.4313415017756</v>
      </c>
      <c r="F252" s="11">
        <f t="shared" si="15"/>
        <v>117.86914884516284</v>
      </c>
      <c r="G252" s="12">
        <f t="shared" si="18"/>
        <v>13893.136249483152</v>
      </c>
      <c r="H252" s="13">
        <f t="shared" si="19"/>
        <v>0.17111195810048238</v>
      </c>
      <c r="I252" s="12">
        <f t="shared" si="20"/>
        <v>0</v>
      </c>
    </row>
    <row r="253" spans="2:9" ht="12.75" hidden="1">
      <c r="B253" s="1">
        <v>177</v>
      </c>
      <c r="C253" s="21">
        <f t="shared" si="14"/>
        <v>275.9932448301902</v>
      </c>
      <c r="D253" s="14">
        <f t="shared" si="16"/>
        <v>183</v>
      </c>
      <c r="E253" s="15">
        <f t="shared" si="17"/>
        <v>160.30878608988343</v>
      </c>
      <c r="F253" s="11">
        <f t="shared" si="15"/>
        <v>115.68445874030675</v>
      </c>
      <c r="G253" s="12">
        <f t="shared" si="18"/>
        <v>13382.893994037735</v>
      </c>
      <c r="H253" s="13">
        <f t="shared" si="19"/>
        <v>0.17111195810048238</v>
      </c>
      <c r="I253" s="12">
        <f t="shared" si="20"/>
        <v>0</v>
      </c>
    </row>
    <row r="254" spans="2:9" ht="12.75" hidden="1">
      <c r="B254" s="1">
        <v>178</v>
      </c>
      <c r="C254" s="21">
        <f t="shared" si="14"/>
        <v>274.70083935731947</v>
      </c>
      <c r="D254" s="14">
        <f t="shared" si="16"/>
        <v>182</v>
      </c>
      <c r="E254" s="15">
        <f t="shared" si="17"/>
        <v>161.19583609064583</v>
      </c>
      <c r="F254" s="11">
        <f t="shared" si="15"/>
        <v>113.50500326667364</v>
      </c>
      <c r="G254" s="12">
        <f t="shared" si="18"/>
        <v>12883.385766567593</v>
      </c>
      <c r="H254" s="13">
        <f t="shared" si="19"/>
        <v>0.17111195810048238</v>
      </c>
      <c r="I254" s="12">
        <f t="shared" si="20"/>
        <v>0</v>
      </c>
    </row>
    <row r="255" spans="2:9" ht="12.75" hidden="1">
      <c r="B255" s="1">
        <v>179</v>
      </c>
      <c r="C255" s="21">
        <f t="shared" si="14"/>
        <v>273.4230251911544</v>
      </c>
      <c r="D255" s="14">
        <f t="shared" si="16"/>
        <v>181</v>
      </c>
      <c r="E255" s="15">
        <f t="shared" si="17"/>
        <v>162.09265070360016</v>
      </c>
      <c r="F255" s="11">
        <f t="shared" si="15"/>
        <v>111.33037448755425</v>
      </c>
      <c r="G255" s="12">
        <f t="shared" si="18"/>
        <v>12394.45228353907</v>
      </c>
      <c r="H255" s="13">
        <f t="shared" si="19"/>
        <v>0.17111195810048238</v>
      </c>
      <c r="I255" s="12">
        <f t="shared" si="20"/>
        <v>0</v>
      </c>
    </row>
    <row r="256" spans="2:9" ht="12.75" hidden="1">
      <c r="B256" s="1">
        <v>180</v>
      </c>
      <c r="C256" s="21">
        <f t="shared" si="14"/>
        <v>272.15955912189975</v>
      </c>
      <c r="D256" s="14">
        <f t="shared" si="16"/>
        <v>180</v>
      </c>
      <c r="E256" s="15">
        <f t="shared" si="17"/>
        <v>162.99939266608666</v>
      </c>
      <c r="F256" s="11">
        <f t="shared" si="15"/>
        <v>109.16016645581308</v>
      </c>
      <c r="G256" s="12">
        <f t="shared" si="18"/>
        <v>11915.94194066082</v>
      </c>
      <c r="H256" s="13">
        <f t="shared" si="19"/>
        <v>0.17111195810048238</v>
      </c>
      <c r="I256" s="12">
        <f t="shared" si="20"/>
        <v>0</v>
      </c>
    </row>
    <row r="257" spans="2:9" ht="12.75" hidden="1">
      <c r="B257" s="1">
        <v>181</v>
      </c>
      <c r="C257" s="21">
        <f t="shared" si="14"/>
        <v>270.91020331444673</v>
      </c>
      <c r="D257" s="14">
        <f t="shared" si="16"/>
        <v>179</v>
      </c>
      <c r="E257" s="15">
        <f t="shared" si="17"/>
        <v>163.91622835206996</v>
      </c>
      <c r="F257" s="11">
        <f t="shared" si="15"/>
        <v>106.99397496237677</v>
      </c>
      <c r="G257" s="12">
        <f t="shared" si="18"/>
        <v>11447.710678249707</v>
      </c>
      <c r="H257" s="13">
        <f t="shared" si="19"/>
        <v>0.17111195810048238</v>
      </c>
      <c r="I257" s="12">
        <f t="shared" si="20"/>
        <v>0</v>
      </c>
    </row>
    <row r="258" spans="2:9" ht="12.75" hidden="1">
      <c r="B258" s="1">
        <v>182</v>
      </c>
      <c r="C258" s="21">
        <f t="shared" si="14"/>
        <v>269.6747251607183</v>
      </c>
      <c r="D258" s="14">
        <f t="shared" si="16"/>
        <v>178</v>
      </c>
      <c r="E258" s="15">
        <f t="shared" si="17"/>
        <v>164.8433278742914</v>
      </c>
      <c r="F258" s="11">
        <f t="shared" si="15"/>
        <v>104.83139728642692</v>
      </c>
      <c r="G258" s="12">
        <f t="shared" si="18"/>
        <v>10989.621857024678</v>
      </c>
      <c r="H258" s="13">
        <f t="shared" si="19"/>
        <v>0.17111195810048238</v>
      </c>
      <c r="I258" s="12">
        <f t="shared" si="20"/>
        <v>0</v>
      </c>
    </row>
    <row r="259" spans="2:9" ht="12.75" hidden="1">
      <c r="B259" s="1">
        <v>183</v>
      </c>
      <c r="C259" s="21">
        <f t="shared" si="14"/>
        <v>268.45289713685145</v>
      </c>
      <c r="D259" s="14">
        <f t="shared" si="16"/>
        <v>177</v>
      </c>
      <c r="E259" s="15">
        <f t="shared" si="17"/>
        <v>165.7808651898838</v>
      </c>
      <c r="F259" s="11">
        <f t="shared" si="15"/>
        <v>102.67203194696765</v>
      </c>
      <c r="G259" s="12">
        <f t="shared" si="18"/>
        <v>10541.546144119146</v>
      </c>
      <c r="H259" s="13">
        <f t="shared" si="19"/>
        <v>0.17111195810048238</v>
      </c>
      <c r="I259" s="12">
        <f t="shared" si="20"/>
        <v>0</v>
      </c>
    </row>
    <row r="260" spans="2:9" ht="12.75" hidden="1">
      <c r="B260" s="1">
        <v>184</v>
      </c>
      <c r="C260" s="21">
        <f t="shared" si="14"/>
        <v>267.2444966650422</v>
      </c>
      <c r="D260" s="14">
        <f t="shared" si="16"/>
        <v>176</v>
      </c>
      <c r="E260" s="15">
        <f t="shared" si="17"/>
        <v>166.7290182095879</v>
      </c>
      <c r="F260" s="11">
        <f t="shared" si="15"/>
        <v>100.51547845545431</v>
      </c>
      <c r="G260" s="12">
        <f t="shared" si="18"/>
        <v>10103.3614091289</v>
      </c>
      <c r="H260" s="13">
        <f t="shared" si="19"/>
        <v>0.17111195810048238</v>
      </c>
      <c r="I260" s="12">
        <f t="shared" si="20"/>
        <v>0</v>
      </c>
    </row>
    <row r="261" spans="2:9" ht="12.75" hidden="1">
      <c r="B261" s="1">
        <v>185</v>
      </c>
      <c r="C261" s="21">
        <f t="shared" si="14"/>
        <v>266.049305979866</v>
      </c>
      <c r="D261" s="14">
        <f t="shared" si="16"/>
        <v>175</v>
      </c>
      <c r="E261" s="15">
        <f t="shared" si="17"/>
        <v>167.6879689107123</v>
      </c>
      <c r="F261" s="11">
        <f t="shared" si="15"/>
        <v>98.3613370691537</v>
      </c>
      <c r="G261" s="12">
        <f t="shared" si="18"/>
        <v>9674.95263003167</v>
      </c>
      <c r="H261" s="13">
        <f t="shared" si="19"/>
        <v>0.17111195810048238</v>
      </c>
      <c r="I261" s="12">
        <f t="shared" si="20"/>
        <v>0</v>
      </c>
    </row>
    <row r="262" spans="2:9" ht="12.75" hidden="1">
      <c r="B262" s="1">
        <v>186</v>
      </c>
      <c r="C262" s="21">
        <f t="shared" si="14"/>
        <v>264.8671119989149</v>
      </c>
      <c r="D262" s="14">
        <f t="shared" si="16"/>
        <v>174</v>
      </c>
      <c r="E262" s="15">
        <f t="shared" si="17"/>
        <v>168.65790345398824</v>
      </c>
      <c r="F262" s="11">
        <f t="shared" si="15"/>
        <v>96.20920854492664</v>
      </c>
      <c r="G262" s="12">
        <f t="shared" si="18"/>
        <v>9256.211808841184</v>
      </c>
      <c r="H262" s="13">
        <f t="shared" si="19"/>
        <v>0.17111195810048238</v>
      </c>
      <c r="I262" s="12">
        <f t="shared" si="20"/>
        <v>0</v>
      </c>
    </row>
    <row r="263" spans="2:9" ht="12.75" hidden="1">
      <c r="B263" s="1">
        <v>187</v>
      </c>
      <c r="C263" s="21">
        <f t="shared" si="14"/>
        <v>263.6977061975807</v>
      </c>
      <c r="D263" s="14">
        <f t="shared" si="16"/>
        <v>173</v>
      </c>
      <c r="E263" s="15">
        <f t="shared" si="17"/>
        <v>169.63901230447877</v>
      </c>
      <c r="F263" s="11">
        <f t="shared" si="15"/>
        <v>94.05869389310195</v>
      </c>
      <c r="G263" s="12">
        <f t="shared" si="18"/>
        <v>8847.037896876252</v>
      </c>
      <c r="H263" s="13">
        <f t="shared" si="19"/>
        <v>0.17111195810048238</v>
      </c>
      <c r="I263" s="12">
        <f t="shared" si="20"/>
        <v>0</v>
      </c>
    </row>
    <row r="264" spans="2:9" ht="12.75" hidden="1">
      <c r="B264" s="1">
        <v>188</v>
      </c>
      <c r="C264" s="21">
        <f t="shared" si="14"/>
        <v>262.54088448783983</v>
      </c>
      <c r="D264" s="14">
        <f t="shared" si="16"/>
        <v>172</v>
      </c>
      <c r="E264" s="15">
        <f t="shared" si="17"/>
        <v>170.6314903567042</v>
      </c>
      <c r="F264" s="11">
        <f t="shared" si="15"/>
        <v>91.90939413113563</v>
      </c>
      <c r="G264" s="12">
        <f t="shared" si="18"/>
        <v>8447.336729552428</v>
      </c>
      <c r="H264" s="13">
        <f t="shared" si="19"/>
        <v>0.17111195810048238</v>
      </c>
      <c r="I264" s="12">
        <f t="shared" si="20"/>
        <v>0</v>
      </c>
    </row>
    <row r="265" spans="2:9" ht="12.75" hidden="1">
      <c r="B265" s="1">
        <v>189</v>
      </c>
      <c r="C265" s="21">
        <f t="shared" si="14"/>
        <v>261.39644710088083</v>
      </c>
      <c r="D265" s="14">
        <f t="shared" si="16"/>
        <v>171</v>
      </c>
      <c r="E265" s="15">
        <f t="shared" si="17"/>
        <v>171.63553706415817</v>
      </c>
      <c r="F265" s="11">
        <f t="shared" si="15"/>
        <v>89.76091003672266</v>
      </c>
      <c r="G265" s="12">
        <f t="shared" si="18"/>
        <v>8057.02097062062</v>
      </c>
      <c r="H265" s="13">
        <f t="shared" si="19"/>
        <v>0.17111195810048238</v>
      </c>
      <c r="I265" s="12">
        <f t="shared" si="20"/>
        <v>0</v>
      </c>
    </row>
    <row r="266" spans="2:9" ht="12.75" hidden="1">
      <c r="B266" s="1">
        <v>190</v>
      </c>
      <c r="C266" s="21">
        <f t="shared" si="14"/>
        <v>260.26419847344334</v>
      </c>
      <c r="D266" s="14">
        <f t="shared" si="16"/>
        <v>170</v>
      </c>
      <c r="E266" s="15">
        <f t="shared" si="17"/>
        <v>172.65135657339587</v>
      </c>
      <c r="F266" s="11">
        <f t="shared" si="15"/>
        <v>87.61284190004747</v>
      </c>
      <c r="G266" s="12">
        <f t="shared" si="18"/>
        <v>7676.010065802714</v>
      </c>
      <c r="H266" s="13">
        <f t="shared" si="19"/>
        <v>0.17111195810048238</v>
      </c>
      <c r="I266" s="12">
        <f t="shared" si="20"/>
        <v>0</v>
      </c>
    </row>
    <row r="267" spans="2:9" ht="12.75" hidden="1">
      <c r="B267" s="1">
        <v>191</v>
      </c>
      <c r="C267" s="21">
        <f t="shared" si="14"/>
        <v>259.1439471377222</v>
      </c>
      <c r="D267" s="14">
        <f t="shared" si="16"/>
        <v>169</v>
      </c>
      <c r="E267" s="15">
        <f t="shared" si="17"/>
        <v>173.6791578628811</v>
      </c>
      <c r="F267" s="11">
        <f t="shared" si="15"/>
        <v>85.46478927484108</v>
      </c>
      <c r="G267" s="12">
        <f t="shared" si="18"/>
        <v>7304.230205792991</v>
      </c>
      <c r="H267" s="13">
        <f t="shared" si="19"/>
        <v>0.17111195810048238</v>
      </c>
      <c r="I267" s="12">
        <f t="shared" si="20"/>
        <v>0</v>
      </c>
    </row>
    <row r="268" spans="2:9" ht="12.75" hidden="1">
      <c r="B268" s="1">
        <v>192</v>
      </c>
      <c r="C268" s="21">
        <f t="shared" si="14"/>
        <v>258.03550561471866</v>
      </c>
      <c r="D268" s="14">
        <f t="shared" si="16"/>
        <v>168</v>
      </c>
      <c r="E268" s="15">
        <f t="shared" si="17"/>
        <v>174.7191548867936</v>
      </c>
      <c r="F268" s="11">
        <f t="shared" si="15"/>
        <v>83.31635072792506</v>
      </c>
      <c r="G268" s="12">
        <f t="shared" si="18"/>
        <v>6941.614298618618</v>
      </c>
      <c r="H268" s="13">
        <f t="shared" si="19"/>
        <v>0.17111195810048238</v>
      </c>
      <c r="I268" s="12">
        <f t="shared" si="20"/>
        <v>0</v>
      </c>
    </row>
    <row r="269" spans="2:9" ht="12.75" hidden="1">
      <c r="B269" s="1">
        <v>193</v>
      </c>
      <c r="C269" s="21">
        <f aca="true" t="shared" si="21" ref="C269:C332">($F$25/12)*POWER((($F$25/12)+1),B269)/(POWER((($F$25/12)+1),B269)-1)*$F$27</f>
        <v>256.93869031090026</v>
      </c>
      <c r="D269" s="14">
        <f t="shared" si="16"/>
        <v>167</v>
      </c>
      <c r="E269" s="15">
        <f t="shared" si="17"/>
        <v>175.77156672400307</v>
      </c>
      <c r="F269" s="11">
        <f aca="true" t="shared" si="22" ref="F269:F332">C269-E269</f>
        <v>81.16712358689719</v>
      </c>
      <c r="G269" s="12">
        <f t="shared" si="18"/>
        <v>6588.101951370642</v>
      </c>
      <c r="H269" s="13">
        <f t="shared" si="19"/>
        <v>0.17111195810048238</v>
      </c>
      <c r="I269" s="12">
        <f t="shared" si="20"/>
        <v>0</v>
      </c>
    </row>
    <row r="270" spans="2:9" ht="12.75" hidden="1">
      <c r="B270" s="1">
        <v>194</v>
      </c>
      <c r="C270" s="21">
        <f t="shared" si="21"/>
        <v>255.85332141806197</v>
      </c>
      <c r="D270" s="14">
        <f aca="true" t="shared" si="23" ref="D270:D333">IF($F$50-B270=0,1,$F$50-B270)</f>
        <v>166</v>
      </c>
      <c r="E270" s="15">
        <f aca="true" t="shared" si="24" ref="E270:E333">(2%/12)*POWER(((2%/12)+1),D270)/(POWER(((2%/12)+1),D270)-1)*(($E$11+$E$12)+((POWER((1+1/100),(($C$28*12+B270)/12))-1)*($E$11+$E$12)))</f>
        <v>176.83661773242608</v>
      </c>
      <c r="F270" s="11">
        <f t="shared" si="22"/>
        <v>79.01670368563589</v>
      </c>
      <c r="G270" s="12">
        <f aca="true" t="shared" si="25" ref="G270:G333">F270*F270</f>
        <v>6243.639461343584</v>
      </c>
      <c r="H270" s="13">
        <f aca="true" t="shared" si="26" ref="H270:H333">MIN($G$77:$G$434)</f>
        <v>0.17111195810048238</v>
      </c>
      <c r="I270" s="12">
        <f aca="true" t="shared" si="27" ref="I270:I333">IF(G270=H270,B270,0)</f>
        <v>0</v>
      </c>
    </row>
    <row r="271" spans="2:9" ht="12.75" hidden="1">
      <c r="B271" s="1">
        <v>195</v>
      </c>
      <c r="C271" s="21">
        <f t="shared" si="21"/>
        <v>254.7792228162658</v>
      </c>
      <c r="D271" s="14">
        <f t="shared" si="23"/>
        <v>165</v>
      </c>
      <c r="E271" s="15">
        <f t="shared" si="24"/>
        <v>177.91453770899804</v>
      </c>
      <c r="F271" s="11">
        <f t="shared" si="22"/>
        <v>76.86468510726775</v>
      </c>
      <c r="G271" s="12">
        <f t="shared" si="25"/>
        <v>5908.179816639428</v>
      </c>
      <c r="H271" s="13">
        <f t="shared" si="26"/>
        <v>0.17111195810048238</v>
      </c>
      <c r="I271" s="12">
        <f t="shared" si="27"/>
        <v>0</v>
      </c>
    </row>
    <row r="272" spans="2:9" ht="12.75" hidden="1">
      <c r="B272" s="1">
        <v>196</v>
      </c>
      <c r="C272" s="21">
        <f t="shared" si="21"/>
        <v>253.71622197975276</v>
      </c>
      <c r="D272" s="14">
        <f t="shared" si="23"/>
        <v>164</v>
      </c>
      <c r="E272" s="15">
        <f t="shared" si="24"/>
        <v>179.0055620554973</v>
      </c>
      <c r="F272" s="11">
        <f t="shared" si="22"/>
        <v>74.71065992425545</v>
      </c>
      <c r="G272" s="12">
        <f t="shared" si="25"/>
        <v>5581.68270631775</v>
      </c>
      <c r="H272" s="13">
        <f t="shared" si="26"/>
        <v>0.17111195810048238</v>
      </c>
      <c r="I272" s="12">
        <f t="shared" si="27"/>
        <v>0</v>
      </c>
    </row>
    <row r="273" spans="2:9" ht="12.75" hidden="1">
      <c r="B273" s="1">
        <v>197</v>
      </c>
      <c r="C273" s="21">
        <f t="shared" si="21"/>
        <v>252.66414988571933</v>
      </c>
      <c r="D273" s="14">
        <f t="shared" si="23"/>
        <v>163</v>
      </c>
      <c r="E273" s="15">
        <f t="shared" si="24"/>
        <v>180.10993195047192</v>
      </c>
      <c r="F273" s="11">
        <f t="shared" si="22"/>
        <v>72.55421793524741</v>
      </c>
      <c r="G273" s="12">
        <f t="shared" si="25"/>
        <v>5264.114540195376</v>
      </c>
      <c r="H273" s="13">
        <f t="shared" si="26"/>
        <v>0.17111195810048238</v>
      </c>
      <c r="I273" s="12">
        <f t="shared" si="27"/>
        <v>0</v>
      </c>
    </row>
    <row r="274" spans="2:9" ht="12.75" hidden="1">
      <c r="B274" s="1">
        <v>198</v>
      </c>
      <c r="C274" s="21">
        <f t="shared" si="21"/>
        <v>251.62284092586074</v>
      </c>
      <c r="D274" s="14">
        <f t="shared" si="23"/>
        <v>162</v>
      </c>
      <c r="E274" s="15">
        <f t="shared" si="24"/>
        <v>181.2278945275356</v>
      </c>
      <c r="F274" s="11">
        <f t="shared" si="22"/>
        <v>70.39494639832515</v>
      </c>
      <c r="G274" s="12">
        <f t="shared" si="25"/>
        <v>4955.448478423071</v>
      </c>
      <c r="H274" s="13">
        <f t="shared" si="26"/>
        <v>0.17111195810048238</v>
      </c>
      <c r="I274" s="12">
        <f t="shared" si="27"/>
        <v>0</v>
      </c>
    </row>
    <row r="275" spans="2:9" ht="12.75" hidden="1">
      <c r="B275" s="1">
        <v>199</v>
      </c>
      <c r="C275" s="21">
        <f t="shared" si="21"/>
        <v>250.592132820577</v>
      </c>
      <c r="D275" s="14">
        <f t="shared" si="23"/>
        <v>161</v>
      </c>
      <c r="E275" s="15">
        <f t="shared" si="24"/>
        <v>182.3597030603075</v>
      </c>
      <c r="F275" s="11">
        <f t="shared" si="22"/>
        <v>68.2324297602695</v>
      </c>
      <c r="G275" s="12">
        <f t="shared" si="25"/>
        <v>4655.66447099011</v>
      </c>
      <c r="H275" s="13">
        <f t="shared" si="26"/>
        <v>0.17111195810048238</v>
      </c>
      <c r="I275" s="12">
        <f t="shared" si="27"/>
        <v>0</v>
      </c>
    </row>
    <row r="276" spans="2:9" ht="12.75" hidden="1">
      <c r="B276" s="1">
        <v>200</v>
      </c>
      <c r="C276" s="21">
        <f t="shared" si="21"/>
        <v>249.5718665357582</v>
      </c>
      <c r="D276" s="14">
        <f t="shared" si="23"/>
        <v>160</v>
      </c>
      <c r="E276" s="15">
        <f t="shared" si="24"/>
        <v>183.50561715428773</v>
      </c>
      <c r="F276" s="11">
        <f t="shared" si="22"/>
        <v>66.06624938147047</v>
      </c>
      <c r="G276" s="12">
        <f t="shared" si="25"/>
        <v>4364.749307334648</v>
      </c>
      <c r="H276" s="13">
        <f t="shared" si="26"/>
        <v>0.17111195810048238</v>
      </c>
      <c r="I276" s="12">
        <f t="shared" si="27"/>
        <v>0</v>
      </c>
    </row>
    <row r="277" spans="2:9" ht="12.75" hidden="1">
      <c r="B277" s="1">
        <v>201</v>
      </c>
      <c r="C277" s="21">
        <f t="shared" si="21"/>
        <v>248.56188620204884</v>
      </c>
      <c r="D277" s="14">
        <f t="shared" si="23"/>
        <v>159</v>
      </c>
      <c r="E277" s="15">
        <f t="shared" si="24"/>
        <v>184.6659029459725</v>
      </c>
      <c r="F277" s="11">
        <f t="shared" si="22"/>
        <v>63.895983256076335</v>
      </c>
      <c r="G277" s="12">
        <f t="shared" si="25"/>
        <v>4082.696676260787</v>
      </c>
      <c r="H277" s="13">
        <f t="shared" si="26"/>
        <v>0.17111195810048238</v>
      </c>
      <c r="I277" s="12">
        <f t="shared" si="27"/>
        <v>0</v>
      </c>
    </row>
    <row r="278" spans="2:9" ht="12.75" hidden="1">
      <c r="B278" s="1">
        <v>202</v>
      </c>
      <c r="C278" s="21">
        <f t="shared" si="21"/>
        <v>247.56203903651348</v>
      </c>
      <c r="D278" s="14">
        <f t="shared" si="23"/>
        <v>158</v>
      </c>
      <c r="E278" s="15">
        <f t="shared" si="24"/>
        <v>185.84083330953172</v>
      </c>
      <c r="F278" s="11">
        <f t="shared" si="22"/>
        <v>61.721205726981765</v>
      </c>
      <c r="G278" s="12">
        <f t="shared" si="25"/>
        <v>3809.5072363924064</v>
      </c>
      <c r="H278" s="13">
        <f t="shared" si="26"/>
        <v>0.17111195810048238</v>
      </c>
      <c r="I278" s="12">
        <f t="shared" si="27"/>
        <v>0</v>
      </c>
    </row>
    <row r="279" spans="2:9" ht="12.75" hidden="1">
      <c r="B279" s="1">
        <v>203</v>
      </c>
      <c r="C279" s="21">
        <f t="shared" si="21"/>
        <v>246.5721752666161</v>
      </c>
      <c r="D279" s="14">
        <f t="shared" si="23"/>
        <v>157</v>
      </c>
      <c r="E279" s="15">
        <f t="shared" si="24"/>
        <v>187.03068807138425</v>
      </c>
      <c r="F279" s="11">
        <f t="shared" si="22"/>
        <v>59.541487195231866</v>
      </c>
      <c r="G279" s="12">
        <f t="shared" si="25"/>
        <v>3545.18869741996</v>
      </c>
      <c r="H279" s="13">
        <f t="shared" si="26"/>
        <v>0.17111195810048238</v>
      </c>
      <c r="I279" s="12">
        <f t="shared" si="27"/>
        <v>0</v>
      </c>
    </row>
    <row r="280" spans="2:9" ht="12.75" hidden="1">
      <c r="B280" s="1">
        <v>204</v>
      </c>
      <c r="C280" s="21">
        <f t="shared" si="21"/>
        <v>245.59214805643617</v>
      </c>
      <c r="D280" s="14">
        <f t="shared" si="23"/>
        <v>156</v>
      </c>
      <c r="E280" s="15">
        <f t="shared" si="24"/>
        <v>188.23575423302717</v>
      </c>
      <c r="F280" s="11">
        <f t="shared" si="22"/>
        <v>57.35639382340901</v>
      </c>
      <c r="G280" s="12">
        <f t="shared" si="25"/>
        <v>3289.755912425991</v>
      </c>
      <c r="H280" s="13">
        <f t="shared" si="26"/>
        <v>0.17111195810048238</v>
      </c>
      <c r="I280" s="12">
        <f t="shared" si="27"/>
        <v>0</v>
      </c>
    </row>
    <row r="281" spans="2:9" ht="12.75" hidden="1">
      <c r="B281" s="1">
        <v>205</v>
      </c>
      <c r="C281" s="21">
        <f t="shared" si="21"/>
        <v>244.62181343504363</v>
      </c>
      <c r="D281" s="14">
        <f t="shared" si="23"/>
        <v>155</v>
      </c>
      <c r="E281" s="15">
        <f t="shared" si="24"/>
        <v>189.4563262024885</v>
      </c>
      <c r="F281" s="11">
        <f t="shared" si="22"/>
        <v>55.16548723255514</v>
      </c>
      <c r="G281" s="12">
        <f t="shared" si="25"/>
        <v>3043.230981605204</v>
      </c>
      <c r="H281" s="13">
        <f t="shared" si="26"/>
        <v>0.17111195810048238</v>
      </c>
      <c r="I281" s="12">
        <f t="shared" si="27"/>
        <v>0</v>
      </c>
    </row>
    <row r="282" spans="2:9" ht="12.75" hidden="1">
      <c r="B282" s="1">
        <v>206</v>
      </c>
      <c r="C282" s="21">
        <f t="shared" si="21"/>
        <v>243.66103022696112</v>
      </c>
      <c r="D282" s="14">
        <f t="shared" si="23"/>
        <v>154</v>
      </c>
      <c r="E282" s="15">
        <f t="shared" si="24"/>
        <v>190.69270603480084</v>
      </c>
      <c r="F282" s="11">
        <f t="shared" si="22"/>
        <v>52.96832419216028</v>
      </c>
      <c r="G282" s="12">
        <f t="shared" si="25"/>
        <v>2805.643367725792</v>
      </c>
      <c r="H282" s="13">
        <f t="shared" si="26"/>
        <v>0.17111195810048238</v>
      </c>
      <c r="I282" s="12">
        <f t="shared" si="27"/>
        <v>0</v>
      </c>
    </row>
    <row r="283" spans="2:9" ht="12.75" hidden="1">
      <c r="B283" s="1">
        <v>207</v>
      </c>
      <c r="C283" s="21">
        <f t="shared" si="21"/>
        <v>242.70965998463933</v>
      </c>
      <c r="D283" s="14">
        <f t="shared" si="23"/>
        <v>153</v>
      </c>
      <c r="E283" s="15">
        <f t="shared" si="24"/>
        <v>191.9452036819017</v>
      </c>
      <c r="F283" s="11">
        <f t="shared" si="22"/>
        <v>50.76445630273764</v>
      </c>
      <c r="G283" s="12">
        <f t="shared" si="25"/>
        <v>2577.0300237125593</v>
      </c>
      <c r="H283" s="13">
        <f t="shared" si="26"/>
        <v>0.17111195810048238</v>
      </c>
      <c r="I283" s="12">
        <f t="shared" si="27"/>
        <v>0</v>
      </c>
    </row>
    <row r="284" spans="2:9" ht="12.75" hidden="1">
      <c r="B284" s="1">
        <v>208</v>
      </c>
      <c r="C284" s="21">
        <f t="shared" si="21"/>
        <v>241.76756692288416</v>
      </c>
      <c r="D284" s="14">
        <f t="shared" si="23"/>
        <v>152</v>
      </c>
      <c r="E284" s="15">
        <f t="shared" si="24"/>
        <v>193.2141372524012</v>
      </c>
      <c r="F284" s="11">
        <f t="shared" si="22"/>
        <v>48.553429670482956</v>
      </c>
      <c r="G284" s="12">
        <f t="shared" si="25"/>
        <v>2357.435532766535</v>
      </c>
      <c r="H284" s="13">
        <f t="shared" si="26"/>
        <v>0.17111195810048238</v>
      </c>
      <c r="I284" s="12">
        <f t="shared" si="27"/>
        <v>0</v>
      </c>
    </row>
    <row r="285" spans="2:9" ht="12.75" hidden="1">
      <c r="B285" s="1">
        <v>209</v>
      </c>
      <c r="C285" s="21">
        <f t="shared" si="21"/>
        <v>240.83461785516218</v>
      </c>
      <c r="D285" s="14">
        <f t="shared" si="23"/>
        <v>151</v>
      </c>
      <c r="E285" s="15">
        <f t="shared" si="24"/>
        <v>194.4998332816709</v>
      </c>
      <c r="F285" s="11">
        <f t="shared" si="22"/>
        <v>46.33478457349128</v>
      </c>
      <c r="G285" s="12">
        <f t="shared" si="25"/>
        <v>2146.9122614718453</v>
      </c>
      <c r="H285" s="13">
        <f t="shared" si="26"/>
        <v>0.17111195810048238</v>
      </c>
      <c r="I285" s="12">
        <f t="shared" si="27"/>
        <v>0</v>
      </c>
    </row>
    <row r="286" spans="2:9" ht="12.75" hidden="1">
      <c r="B286" s="1">
        <v>210</v>
      </c>
      <c r="C286" s="21">
        <f t="shared" si="21"/>
        <v>239.91068213172875</v>
      </c>
      <c r="D286" s="14">
        <f t="shared" si="23"/>
        <v>150</v>
      </c>
      <c r="E286" s="15">
        <f t="shared" si="24"/>
        <v>195.8026270127344</v>
      </c>
      <c r="F286" s="11">
        <f t="shared" si="22"/>
        <v>44.10805511899434</v>
      </c>
      <c r="G286" s="12">
        <f t="shared" si="25"/>
        <v>1945.5205263802432</v>
      </c>
      <c r="H286" s="13">
        <f t="shared" si="26"/>
        <v>0.17111195810048238</v>
      </c>
      <c r="I286" s="12">
        <f t="shared" si="27"/>
        <v>0</v>
      </c>
    </row>
    <row r="287" spans="2:9" ht="12.75" hidden="1">
      <c r="B287" s="1">
        <v>211</v>
      </c>
      <c r="C287" s="21">
        <f t="shared" si="21"/>
        <v>238.99563157951408</v>
      </c>
      <c r="D287" s="14">
        <f t="shared" si="23"/>
        <v>149</v>
      </c>
      <c r="E287" s="15">
        <f t="shared" si="24"/>
        <v>197.1228626884716</v>
      </c>
      <c r="F287" s="11">
        <f t="shared" si="22"/>
        <v>41.87276889104248</v>
      </c>
      <c r="G287" s="12">
        <f t="shared" si="25"/>
        <v>1753.3287746026551</v>
      </c>
      <c r="H287" s="13">
        <f t="shared" si="26"/>
        <v>0.17111195810048238</v>
      </c>
      <c r="I287" s="12">
        <f t="shared" si="27"/>
        <v>0</v>
      </c>
    </row>
    <row r="288" spans="2:9" ht="12.75" hidden="1">
      <c r="B288" s="1">
        <v>212</v>
      </c>
      <c r="C288" s="21">
        <f t="shared" si="21"/>
        <v>238.08934044371202</v>
      </c>
      <c r="D288" s="14">
        <f t="shared" si="23"/>
        <v>148</v>
      </c>
      <c r="E288" s="15">
        <f t="shared" si="24"/>
        <v>198.46089385566825</v>
      </c>
      <c r="F288" s="11">
        <f t="shared" si="22"/>
        <v>39.62844658804377</v>
      </c>
      <c r="G288" s="12">
        <f t="shared" si="25"/>
        <v>1570.413778981438</v>
      </c>
      <c r="H288" s="13">
        <f t="shared" si="26"/>
        <v>0.17111195810048238</v>
      </c>
      <c r="I288" s="12">
        <f t="shared" si="27"/>
        <v>0</v>
      </c>
    </row>
    <row r="289" spans="2:9" ht="12.75" hidden="1">
      <c r="B289" s="1">
        <v>213</v>
      </c>
      <c r="C289" s="21">
        <f t="shared" si="21"/>
        <v>237.19168533101234</v>
      </c>
      <c r="D289" s="14">
        <f t="shared" si="23"/>
        <v>147</v>
      </c>
      <c r="E289" s="15">
        <f t="shared" si="24"/>
        <v>199.8170836814737</v>
      </c>
      <c r="F289" s="11">
        <f t="shared" si="22"/>
        <v>37.37460164953865</v>
      </c>
      <c r="G289" s="12">
        <f t="shared" si="25"/>
        <v>1396.860848461697</v>
      </c>
      <c r="H289" s="13">
        <f t="shared" si="26"/>
        <v>0.17111195810048238</v>
      </c>
      <c r="I289" s="12">
        <f t="shared" si="27"/>
        <v>0</v>
      </c>
    </row>
    <row r="290" spans="2:9" ht="12.75" hidden="1">
      <c r="B290" s="1">
        <v>214</v>
      </c>
      <c r="C290" s="21">
        <f t="shared" si="21"/>
        <v>236.30254515442618</v>
      </c>
      <c r="D290" s="14">
        <f t="shared" si="23"/>
        <v>146</v>
      </c>
      <c r="E290" s="15">
        <f t="shared" si="24"/>
        <v>201.19180528286736</v>
      </c>
      <c r="F290" s="11">
        <f t="shared" si="22"/>
        <v>35.11073987155882</v>
      </c>
      <c r="G290" s="12">
        <f t="shared" si="25"/>
        <v>1232.7640543282703</v>
      </c>
      <c r="H290" s="13">
        <f t="shared" si="26"/>
        <v>0.17111195810048238</v>
      </c>
      <c r="I290" s="12">
        <f t="shared" si="27"/>
        <v>0</v>
      </c>
    </row>
    <row r="291" spans="2:9" ht="12.75" hidden="1">
      <c r="B291" s="1">
        <v>215</v>
      </c>
      <c r="C291" s="21">
        <f t="shared" si="21"/>
        <v>235.42180107965063</v>
      </c>
      <c r="D291" s="14">
        <f t="shared" si="23"/>
        <v>145</v>
      </c>
      <c r="E291" s="15">
        <f t="shared" si="24"/>
        <v>202.58544206975492</v>
      </c>
      <c r="F291" s="11">
        <f t="shared" si="22"/>
        <v>32.836359009895716</v>
      </c>
      <c r="G291" s="12">
        <f t="shared" si="25"/>
        <v>1078.2264730267595</v>
      </c>
      <c r="H291" s="13">
        <f t="shared" si="26"/>
        <v>0.17111195810048238</v>
      </c>
      <c r="I291" s="12">
        <f t="shared" si="27"/>
        <v>0</v>
      </c>
    </row>
    <row r="292" spans="2:9" ht="12.75" hidden="1">
      <c r="B292" s="1">
        <v>216</v>
      </c>
      <c r="C292" s="21">
        <f t="shared" si="21"/>
        <v>234.5493364729233</v>
      </c>
      <c r="D292" s="14">
        <f t="shared" si="23"/>
        <v>144</v>
      </c>
      <c r="E292" s="15">
        <f t="shared" si="24"/>
        <v>203.9983881023623</v>
      </c>
      <c r="F292" s="11">
        <f t="shared" si="22"/>
        <v>30.550948370561002</v>
      </c>
      <c r="G292" s="12">
        <f t="shared" si="25"/>
        <v>933.360446340684</v>
      </c>
      <c r="H292" s="13">
        <f t="shared" si="26"/>
        <v>0.17111195810048238</v>
      </c>
      <c r="I292" s="12">
        <f t="shared" si="27"/>
        <v>0</v>
      </c>
    </row>
    <row r="293" spans="2:9" ht="12.75" hidden="1">
      <c r="B293" s="1">
        <v>217</v>
      </c>
      <c r="C293" s="21">
        <f t="shared" si="21"/>
        <v>233.68503685031877</v>
      </c>
      <c r="D293" s="14">
        <f t="shared" si="23"/>
        <v>143</v>
      </c>
      <c r="E293" s="15">
        <f t="shared" si="24"/>
        <v>205.43104846362434</v>
      </c>
      <c r="F293" s="11">
        <f t="shared" si="22"/>
        <v>28.25398838669443</v>
      </c>
      <c r="G293" s="12">
        <f t="shared" si="25"/>
        <v>798.2878597554637</v>
      </c>
      <c r="H293" s="13">
        <f t="shared" si="26"/>
        <v>0.17111195810048238</v>
      </c>
      <c r="I293" s="12">
        <f t="shared" si="27"/>
        <v>0</v>
      </c>
    </row>
    <row r="294" spans="2:9" ht="12.75" hidden="1">
      <c r="B294" s="1">
        <v>218</v>
      </c>
      <c r="C294" s="21">
        <f t="shared" si="21"/>
        <v>232.8287898284404</v>
      </c>
      <c r="D294" s="14">
        <f t="shared" si="23"/>
        <v>142</v>
      </c>
      <c r="E294" s="15">
        <f t="shared" si="24"/>
        <v>206.88383964730787</v>
      </c>
      <c r="F294" s="11">
        <f t="shared" si="22"/>
        <v>25.944950181132526</v>
      </c>
      <c r="G294" s="12">
        <f t="shared" si="25"/>
        <v>673.1404399014488</v>
      </c>
      <c r="H294" s="13">
        <f t="shared" si="26"/>
        <v>0.17111195810048238</v>
      </c>
      <c r="I294" s="12">
        <f t="shared" si="27"/>
        <v>0</v>
      </c>
    </row>
    <row r="295" spans="2:9" ht="12.75" hidden="1">
      <c r="B295" s="1">
        <v>219</v>
      </c>
      <c r="C295" s="21">
        <f t="shared" si="21"/>
        <v>231.9804850764628</v>
      </c>
      <c r="D295" s="14">
        <f t="shared" si="23"/>
        <v>141</v>
      </c>
      <c r="E295" s="15">
        <f t="shared" si="24"/>
        <v>208.35718996265248</v>
      </c>
      <c r="F295" s="11">
        <f t="shared" si="22"/>
        <v>23.623295113810315</v>
      </c>
      <c r="G295" s="12">
        <f t="shared" si="25"/>
        <v>558.0600720341743</v>
      </c>
      <c r="H295" s="13">
        <f t="shared" si="26"/>
        <v>0.17111195810048238</v>
      </c>
      <c r="I295" s="12">
        <f t="shared" si="27"/>
        <v>0</v>
      </c>
    </row>
    <row r="296" spans="2:9" ht="12.75" hidden="1">
      <c r="B296" s="1">
        <v>220</v>
      </c>
      <c r="C296" s="21">
        <f t="shared" si="21"/>
        <v>231.14001426948303</v>
      </c>
      <c r="D296" s="14">
        <f t="shared" si="23"/>
        <v>140</v>
      </c>
      <c r="E296" s="15">
        <f t="shared" si="24"/>
        <v>209.8515399563499</v>
      </c>
      <c r="F296" s="11">
        <f t="shared" si="22"/>
        <v>21.288474313133122</v>
      </c>
      <c r="G296" s="12">
        <f t="shared" si="25"/>
        <v>453.1991385809288</v>
      </c>
      <c r="H296" s="13">
        <f t="shared" si="26"/>
        <v>0.17111195810048238</v>
      </c>
      <c r="I296" s="12">
        <f t="shared" si="27"/>
        <v>0</v>
      </c>
    </row>
    <row r="297" spans="2:9" ht="12.75" hidden="1">
      <c r="B297" s="1">
        <v>221</v>
      </c>
      <c r="C297" s="21">
        <f t="shared" si="21"/>
        <v>230.30727104313755</v>
      </c>
      <c r="D297" s="14">
        <f t="shared" si="23"/>
        <v>139</v>
      </c>
      <c r="E297" s="15">
        <f t="shared" si="24"/>
        <v>211.36734285274173</v>
      </c>
      <c r="F297" s="11">
        <f t="shared" si="22"/>
        <v>18.93992819039582</v>
      </c>
      <c r="G297" s="12">
        <f t="shared" si="25"/>
        <v>358.7208798573502</v>
      </c>
      <c r="H297" s="13">
        <f t="shared" si="26"/>
        <v>0.17111195810048238</v>
      </c>
      <c r="I297" s="12">
        <f t="shared" si="27"/>
        <v>0</v>
      </c>
    </row>
    <row r="298" spans="2:9" ht="12.75" hidden="1">
      <c r="B298" s="1">
        <v>222</v>
      </c>
      <c r="C298" s="21">
        <f t="shared" si="21"/>
        <v>229.48215094944644</v>
      </c>
      <c r="D298" s="14">
        <f t="shared" si="23"/>
        <v>138</v>
      </c>
      <c r="E298" s="15">
        <f t="shared" si="24"/>
        <v>212.9050650131537</v>
      </c>
      <c r="F298" s="11">
        <f t="shared" si="22"/>
        <v>16.577085936292747</v>
      </c>
      <c r="G298" s="12">
        <f t="shared" si="25"/>
        <v>274.7997781392348</v>
      </c>
      <c r="H298" s="13">
        <f t="shared" si="26"/>
        <v>0.17111195810048238</v>
      </c>
      <c r="I298" s="12">
        <f t="shared" si="27"/>
        <v>0</v>
      </c>
    </row>
    <row r="299" spans="2:9" ht="12.75" hidden="1">
      <c r="B299" s="1">
        <v>223</v>
      </c>
      <c r="C299" s="21">
        <f t="shared" si="21"/>
        <v>228.66455141384367</v>
      </c>
      <c r="D299" s="14">
        <f t="shared" si="23"/>
        <v>137</v>
      </c>
      <c r="E299" s="15">
        <f t="shared" si="24"/>
        <v>214.46518641534794</v>
      </c>
      <c r="F299" s="11">
        <f t="shared" si="22"/>
        <v>14.199364998495724</v>
      </c>
      <c r="G299" s="12">
        <f t="shared" si="25"/>
        <v>201.6219663605055</v>
      </c>
      <c r="H299" s="13">
        <f t="shared" si="26"/>
        <v>0.17111195810048238</v>
      </c>
      <c r="I299" s="12">
        <f t="shared" si="27"/>
        <v>0</v>
      </c>
    </row>
    <row r="300" spans="2:9" ht="12.75" hidden="1">
      <c r="B300" s="1">
        <v>224</v>
      </c>
      <c r="C300" s="21">
        <f t="shared" si="21"/>
        <v>227.85437169336214</v>
      </c>
      <c r="D300" s="14">
        <f t="shared" si="23"/>
        <v>136</v>
      </c>
      <c r="E300" s="15">
        <f t="shared" si="24"/>
        <v>216.04820115412707</v>
      </c>
      <c r="F300" s="11">
        <f t="shared" si="22"/>
        <v>11.806170539235069</v>
      </c>
      <c r="G300" s="12">
        <f t="shared" si="25"/>
        <v>139.38566280150206</v>
      </c>
      <c r="H300" s="13">
        <f t="shared" si="26"/>
        <v>0.17111195810048238</v>
      </c>
      <c r="I300" s="12">
        <f t="shared" si="27"/>
        <v>0</v>
      </c>
    </row>
    <row r="301" spans="2:9" ht="12.75" hidden="1">
      <c r="B301" s="1">
        <v>225</v>
      </c>
      <c r="C301" s="21">
        <f t="shared" si="21"/>
        <v>227.05151283593008</v>
      </c>
      <c r="D301" s="14">
        <f t="shared" si="23"/>
        <v>135</v>
      </c>
      <c r="E301" s="15">
        <f t="shared" si="24"/>
        <v>217.6546179641882</v>
      </c>
      <c r="F301" s="11">
        <f t="shared" si="22"/>
        <v>9.396894871741893</v>
      </c>
      <c r="G301" s="12">
        <f t="shared" si="25"/>
        <v>88.30163323056908</v>
      </c>
      <c r="H301" s="13">
        <f t="shared" si="26"/>
        <v>0.17111195810048238</v>
      </c>
      <c r="I301" s="12">
        <f t="shared" si="27"/>
        <v>0</v>
      </c>
    </row>
    <row r="302" spans="2:9" ht="12.75" hidden="1">
      <c r="B302" s="1">
        <v>226</v>
      </c>
      <c r="C302" s="21">
        <f t="shared" si="21"/>
        <v>226.25587764074976</v>
      </c>
      <c r="D302" s="14">
        <f t="shared" si="23"/>
        <v>134</v>
      </c>
      <c r="E302" s="15">
        <f t="shared" si="24"/>
        <v>219.28496076638638</v>
      </c>
      <c r="F302" s="11">
        <f t="shared" si="22"/>
        <v>6.9709168743633825</v>
      </c>
      <c r="G302" s="12">
        <f t="shared" si="25"/>
        <v>48.59368206928415</v>
      </c>
      <c r="H302" s="13">
        <f t="shared" si="26"/>
        <v>0.17111195810048238</v>
      </c>
      <c r="I302" s="12">
        <f t="shared" si="27"/>
        <v>0</v>
      </c>
    </row>
    <row r="303" spans="2:9" ht="12.75" hidden="1">
      <c r="B303" s="1">
        <v>227</v>
      </c>
      <c r="C303" s="21">
        <f t="shared" si="21"/>
        <v>225.46737061972323</v>
      </c>
      <c r="D303" s="14">
        <f t="shared" si="23"/>
        <v>133</v>
      </c>
      <c r="E303" s="15">
        <f t="shared" si="24"/>
        <v>220.93976923864435</v>
      </c>
      <c r="F303" s="11">
        <f t="shared" si="22"/>
        <v>4.527601381078881</v>
      </c>
      <c r="G303" s="12">
        <f t="shared" si="25"/>
        <v>20.499174265947392</v>
      </c>
      <c r="H303" s="13">
        <f t="shared" si="26"/>
        <v>0.17111195810048238</v>
      </c>
      <c r="I303" s="12">
        <f t="shared" si="27"/>
        <v>0</v>
      </c>
    </row>
    <row r="304" spans="2:9" ht="12.75" hidden="1">
      <c r="B304" s="1">
        <v>228</v>
      </c>
      <c r="C304" s="21">
        <f t="shared" si="21"/>
        <v>224.68589795989348</v>
      </c>
      <c r="D304" s="14">
        <f t="shared" si="23"/>
        <v>132</v>
      </c>
      <c r="E304" s="15">
        <f t="shared" si="24"/>
        <v>222.61959941280986</v>
      </c>
      <c r="F304" s="11">
        <f t="shared" si="22"/>
        <v>2.066298547083619</v>
      </c>
      <c r="G304" s="12">
        <f t="shared" si="25"/>
        <v>4.269589685679875</v>
      </c>
      <c r="H304" s="13">
        <f t="shared" si="26"/>
        <v>0.17111195810048238</v>
      </c>
      <c r="I304" s="12">
        <f t="shared" si="27"/>
        <v>0</v>
      </c>
    </row>
    <row r="305" spans="2:9" ht="12.75" hidden="1">
      <c r="B305" s="1">
        <v>229</v>
      </c>
      <c r="C305" s="21">
        <f t="shared" si="21"/>
        <v>223.91136748686912</v>
      </c>
      <c r="D305" s="14">
        <f t="shared" si="23"/>
        <v>131</v>
      </c>
      <c r="E305" s="15">
        <f t="shared" si="24"/>
        <v>224.32502429885278</v>
      </c>
      <c r="F305" s="11">
        <f t="shared" si="22"/>
        <v>-0.4136568119836568</v>
      </c>
      <c r="G305" s="12">
        <f t="shared" si="25"/>
        <v>0.17111195810048238</v>
      </c>
      <c r="H305" s="13">
        <f t="shared" si="26"/>
        <v>0.17111195810048238</v>
      </c>
      <c r="I305" s="12">
        <f t="shared" si="27"/>
        <v>229</v>
      </c>
    </row>
    <row r="306" spans="2:9" ht="12.75" hidden="1">
      <c r="B306" s="1">
        <v>230</v>
      </c>
      <c r="C306" s="21">
        <f t="shared" si="21"/>
        <v>223.14368862920378</v>
      </c>
      <c r="D306" s="14">
        <f t="shared" si="23"/>
        <v>130</v>
      </c>
      <c r="E306" s="15">
        <f t="shared" si="24"/>
        <v>226.05663453786786</v>
      </c>
      <c r="F306" s="11">
        <f t="shared" si="22"/>
        <v>-2.912945908664085</v>
      </c>
      <c r="G306" s="12">
        <f t="shared" si="25"/>
        <v>8.485253866802832</v>
      </c>
      <c r="H306" s="13">
        <f t="shared" si="26"/>
        <v>0.17111195810048238</v>
      </c>
      <c r="I306" s="12">
        <f t="shared" si="27"/>
        <v>0</v>
      </c>
    </row>
    <row r="307" spans="2:9" ht="12.75" hidden="1">
      <c r="B307" s="1">
        <v>231</v>
      </c>
      <c r="C307" s="21">
        <f t="shared" si="21"/>
        <v>222.38277238369932</v>
      </c>
      <c r="D307" s="14">
        <f t="shared" si="23"/>
        <v>129</v>
      </c>
      <c r="E307" s="15">
        <f t="shared" si="24"/>
        <v>227.81503908545318</v>
      </c>
      <c r="F307" s="11">
        <f t="shared" si="22"/>
        <v>-5.432266701753861</v>
      </c>
      <c r="G307" s="12">
        <f t="shared" si="25"/>
        <v>29.509521518983767</v>
      </c>
      <c r="H307" s="13">
        <f t="shared" si="26"/>
        <v>0.17111195810048238</v>
      </c>
      <c r="I307" s="12">
        <f t="shared" si="27"/>
        <v>0</v>
      </c>
    </row>
    <row r="308" spans="2:9" ht="12.75" hidden="1">
      <c r="B308" s="1">
        <v>232</v>
      </c>
      <c r="C308" s="21">
        <f t="shared" si="21"/>
        <v>221.62853128160899</v>
      </c>
      <c r="D308" s="14">
        <f t="shared" si="23"/>
        <v>128</v>
      </c>
      <c r="E308" s="15">
        <f t="shared" si="24"/>
        <v>229.60086592712017</v>
      </c>
      <c r="F308" s="11">
        <f t="shared" si="22"/>
        <v>-7.972334645511182</v>
      </c>
      <c r="G308" s="12">
        <f t="shared" si="25"/>
        <v>63.55811970001791</v>
      </c>
      <c r="H308" s="13">
        <f t="shared" si="26"/>
        <v>0.17111195810048238</v>
      </c>
      <c r="I308" s="12">
        <f t="shared" si="27"/>
        <v>0</v>
      </c>
    </row>
    <row r="309" spans="2:9" ht="12.75" hidden="1">
      <c r="B309" s="1">
        <v>233</v>
      </c>
      <c r="C309" s="21">
        <f t="shared" si="21"/>
        <v>220.88087935570834</v>
      </c>
      <c r="D309" s="14">
        <f t="shared" si="23"/>
        <v>127</v>
      </c>
      <c r="E309" s="15">
        <f t="shared" si="24"/>
        <v>231.41476282750247</v>
      </c>
      <c r="F309" s="11">
        <f t="shared" si="22"/>
        <v>-10.533883471794127</v>
      </c>
      <c r="G309" s="12">
        <f t="shared" si="25"/>
        <v>110.96270099733749</v>
      </c>
      <c r="H309" s="13">
        <f t="shared" si="26"/>
        <v>0.17111195810048238</v>
      </c>
      <c r="I309" s="12">
        <f t="shared" si="27"/>
        <v>0</v>
      </c>
    </row>
    <row r="310" spans="2:9" ht="12.75" hidden="1">
      <c r="B310" s="1">
        <v>234</v>
      </c>
      <c r="C310" s="21">
        <f t="shared" si="21"/>
        <v>220.13973210821177</v>
      </c>
      <c r="D310" s="14">
        <f t="shared" si="23"/>
        <v>126</v>
      </c>
      <c r="E310" s="15">
        <f t="shared" si="24"/>
        <v>233.25739811524207</v>
      </c>
      <c r="F310" s="11">
        <f t="shared" si="22"/>
        <v>-13.117666007030294</v>
      </c>
      <c r="G310" s="12">
        <f t="shared" si="25"/>
        <v>172.0731614719981</v>
      </c>
      <c r="H310" s="13">
        <f t="shared" si="26"/>
        <v>0.17111195810048238</v>
      </c>
      <c r="I310" s="12">
        <f t="shared" si="27"/>
        <v>0</v>
      </c>
    </row>
    <row r="311" spans="2:9" ht="12.75" hidden="1">
      <c r="B311" s="1">
        <v>235</v>
      </c>
      <c r="C311" s="21">
        <f t="shared" si="21"/>
        <v>219.40500647950742</v>
      </c>
      <c r="D311" s="14">
        <f t="shared" si="23"/>
        <v>125</v>
      </c>
      <c r="E311" s="15">
        <f t="shared" si="24"/>
        <v>235.12946150554873</v>
      </c>
      <c r="F311" s="11">
        <f t="shared" si="22"/>
        <v>-15.724455026041312</v>
      </c>
      <c r="G311" s="12">
        <f t="shared" si="25"/>
        <v>247.25848586599588</v>
      </c>
      <c r="H311" s="13">
        <f t="shared" si="26"/>
        <v>0.17111195810048238</v>
      </c>
      <c r="I311" s="12">
        <f t="shared" si="27"/>
        <v>0</v>
      </c>
    </row>
    <row r="312" spans="2:9" ht="12.75" hidden="1">
      <c r="B312" s="1">
        <v>236</v>
      </c>
      <c r="C312" s="21">
        <f t="shared" si="21"/>
        <v>218.67662081768844</v>
      </c>
      <c r="D312" s="14">
        <f t="shared" si="23"/>
        <v>124</v>
      </c>
      <c r="E312" s="15">
        <f t="shared" si="24"/>
        <v>237.03166496256367</v>
      </c>
      <c r="F312" s="11">
        <f t="shared" si="22"/>
        <v>-18.355044144875222</v>
      </c>
      <c r="G312" s="12">
        <f t="shared" si="25"/>
        <v>336.9076455603182</v>
      </c>
      <c r="H312" s="13">
        <f t="shared" si="26"/>
        <v>0.17111195810048238</v>
      </c>
      <c r="I312" s="12">
        <f t="shared" si="27"/>
        <v>0</v>
      </c>
    </row>
    <row r="313" spans="2:9" ht="12.75" hidden="1">
      <c r="B313" s="1">
        <v>237</v>
      </c>
      <c r="C313" s="21">
        <f t="shared" si="21"/>
        <v>217.95449484885395</v>
      </c>
      <c r="D313" s="14">
        <f t="shared" si="23"/>
        <v>123</v>
      </c>
      <c r="E313" s="15">
        <f t="shared" si="24"/>
        <v>238.96474360378494</v>
      </c>
      <c r="F313" s="11">
        <f t="shared" si="22"/>
        <v>-21.010248754930984</v>
      </c>
      <c r="G313" s="12">
        <f t="shared" si="25"/>
        <v>441.43055274407897</v>
      </c>
      <c r="H313" s="13">
        <f t="shared" si="26"/>
        <v>0.17111195810048238</v>
      </c>
      <c r="I313" s="12">
        <f t="shared" si="27"/>
        <v>0</v>
      </c>
    </row>
    <row r="314" spans="2:9" ht="12.75" hidden="1">
      <c r="B314" s="1">
        <v>238</v>
      </c>
      <c r="C314" s="21">
        <f t="shared" si="21"/>
        <v>217.2385496481596</v>
      </c>
      <c r="D314" s="14">
        <f t="shared" si="23"/>
        <v>122</v>
      </c>
      <c r="E314" s="15">
        <f t="shared" si="24"/>
        <v>240.92945664897837</v>
      </c>
      <c r="F314" s="11">
        <f t="shared" si="22"/>
        <v>-23.690907000818783</v>
      </c>
      <c r="G314" s="12">
        <f t="shared" si="25"/>
        <v>561.2590745214444</v>
      </c>
      <c r="H314" s="13">
        <f t="shared" si="26"/>
        <v>0.17111195810048238</v>
      </c>
      <c r="I314" s="12">
        <f t="shared" si="27"/>
        <v>0</v>
      </c>
    </row>
    <row r="315" spans="2:9" ht="12.75" hidden="1">
      <c r="B315" s="1">
        <v>239</v>
      </c>
      <c r="C315" s="21">
        <f t="shared" si="21"/>
        <v>216.52870761159403</v>
      </c>
      <c r="D315" s="14">
        <f t="shared" si="23"/>
        <v>121</v>
      </c>
      <c r="E315" s="15">
        <f t="shared" si="24"/>
        <v>242.92658841613672</v>
      </c>
      <c r="F315" s="11">
        <f t="shared" si="22"/>
        <v>-26.397880804542694</v>
      </c>
      <c r="G315" s="12">
        <f t="shared" si="25"/>
        <v>696.8481109708437</v>
      </c>
      <c r="H315" s="13">
        <f t="shared" si="26"/>
        <v>0.17111195810048238</v>
      </c>
      <c r="I315" s="12">
        <f t="shared" si="27"/>
        <v>0</v>
      </c>
    </row>
    <row r="316" spans="2:9" ht="12.75" hidden="1">
      <c r="B316" s="1">
        <v>240</v>
      </c>
      <c r="C316" s="21">
        <f t="shared" si="21"/>
        <v>215.82489242846307</v>
      </c>
      <c r="D316" s="14">
        <f t="shared" si="23"/>
        <v>120</v>
      </c>
      <c r="E316" s="15">
        <f t="shared" si="24"/>
        <v>244.95694936724016</v>
      </c>
      <c r="F316" s="11">
        <f t="shared" si="22"/>
        <v>-29.132056938777083</v>
      </c>
      <c r="G316" s="12">
        <f t="shared" si="25"/>
        <v>848.6767414841499</v>
      </c>
      <c r="H316" s="13">
        <f t="shared" si="26"/>
        <v>0.17111195810048238</v>
      </c>
      <c r="I316" s="12">
        <f t="shared" si="27"/>
        <v>0</v>
      </c>
    </row>
    <row r="317" spans="2:9" ht="12.75" hidden="1">
      <c r="B317" s="1">
        <v>241</v>
      </c>
      <c r="C317" s="21">
        <f t="shared" si="21"/>
        <v>215.12702905455603</v>
      </c>
      <c r="D317" s="14">
        <f t="shared" si="23"/>
        <v>119</v>
      </c>
      <c r="E317" s="15">
        <f t="shared" si="24"/>
        <v>247.02137720674372</v>
      </c>
      <c r="F317" s="11">
        <f t="shared" si="22"/>
        <v>-31.89434815218769</v>
      </c>
      <c r="G317" s="12">
        <f t="shared" si="25"/>
        <v>1017.2494440529582</v>
      </c>
      <c r="H317" s="13">
        <f t="shared" si="26"/>
        <v>0.17111195810048238</v>
      </c>
      <c r="I317" s="12">
        <f t="shared" si="27"/>
        <v>0</v>
      </c>
    </row>
    <row r="318" spans="2:9" ht="12.75" hidden="1">
      <c r="B318" s="1">
        <v>242</v>
      </c>
      <c r="C318" s="21">
        <f t="shared" si="21"/>
        <v>214.4350436859793</v>
      </c>
      <c r="D318" s="14">
        <f t="shared" si="23"/>
        <v>118</v>
      </c>
      <c r="E318" s="15">
        <f t="shared" si="24"/>
        <v>249.12073803591778</v>
      </c>
      <c r="F318" s="11">
        <f t="shared" si="22"/>
        <v>-34.68569434993847</v>
      </c>
      <c r="G318" s="12">
        <f t="shared" si="25"/>
        <v>1203.0973925373537</v>
      </c>
      <c r="H318" s="13">
        <f t="shared" si="26"/>
        <v>0.17111195810048238</v>
      </c>
      <c r="I318" s="12">
        <f t="shared" si="27"/>
        <v>0</v>
      </c>
    </row>
    <row r="319" spans="2:9" ht="12.75" hidden="1">
      <c r="B319" s="1">
        <v>243</v>
      </c>
      <c r="C319" s="21">
        <f t="shared" si="21"/>
        <v>213.74886373363557</v>
      </c>
      <c r="D319" s="14">
        <f t="shared" si="23"/>
        <v>117</v>
      </c>
      <c r="E319" s="15">
        <f t="shared" si="24"/>
        <v>251.25592756638878</v>
      </c>
      <c r="F319" s="11">
        <f t="shared" si="22"/>
        <v>-37.507063832753204</v>
      </c>
      <c r="G319" s="12">
        <f t="shared" si="25"/>
        <v>1406.7798373542234</v>
      </c>
      <c r="H319" s="13">
        <f t="shared" si="26"/>
        <v>0.17111195810048238</v>
      </c>
      <c r="I319" s="12">
        <f t="shared" si="27"/>
        <v>0</v>
      </c>
    </row>
    <row r="320" spans="2:9" ht="12.75" hidden="1">
      <c r="B320" s="1">
        <v>244</v>
      </c>
      <c r="C320" s="21">
        <f t="shared" si="21"/>
        <v>213.06841779833061</v>
      </c>
      <c r="D320" s="14">
        <f t="shared" si="23"/>
        <v>116</v>
      </c>
      <c r="E320" s="15">
        <f t="shared" si="24"/>
        <v>253.42787239644744</v>
      </c>
      <c r="F320" s="11">
        <f t="shared" si="22"/>
        <v>-40.35945459811683</v>
      </c>
      <c r="G320" s="12">
        <f t="shared" si="25"/>
        <v>1628.8855754574536</v>
      </c>
      <c r="H320" s="13">
        <f t="shared" si="26"/>
        <v>0.17111195810048238</v>
      </c>
      <c r="I320" s="12">
        <f t="shared" si="27"/>
        <v>0</v>
      </c>
    </row>
    <row r="321" spans="2:9" ht="12.75" hidden="1">
      <c r="B321" s="1">
        <v>245</v>
      </c>
      <c r="C321" s="21">
        <f t="shared" si="21"/>
        <v>212.39363564648903</v>
      </c>
      <c r="D321" s="14">
        <f t="shared" si="23"/>
        <v>115</v>
      </c>
      <c r="E321" s="15">
        <f t="shared" si="24"/>
        <v>255.6375313539462</v>
      </c>
      <c r="F321" s="11">
        <f t="shared" si="22"/>
        <v>-43.24389570745717</v>
      </c>
      <c r="G321" s="12">
        <f t="shared" si="25"/>
        <v>1870.0345159574326</v>
      </c>
      <c r="H321" s="13">
        <f t="shared" si="26"/>
        <v>0.17111195810048238</v>
      </c>
      <c r="I321" s="12">
        <f t="shared" si="27"/>
        <v>0</v>
      </c>
    </row>
    <row r="322" spans="2:9" ht="12.75" hidden="1">
      <c r="B322" s="1">
        <v>246</v>
      </c>
      <c r="C322" s="21">
        <f t="shared" si="21"/>
        <v>211.72444818646386</v>
      </c>
      <c r="D322" s="14">
        <f t="shared" si="23"/>
        <v>114</v>
      </c>
      <c r="E322" s="15">
        <f t="shared" si="24"/>
        <v>257.88589690987794</v>
      </c>
      <c r="F322" s="11">
        <f t="shared" si="22"/>
        <v>-46.16144872341408</v>
      </c>
      <c r="G322" s="12">
        <f t="shared" si="25"/>
        <v>2130.8793482443875</v>
      </c>
      <c r="H322" s="13">
        <f t="shared" si="26"/>
        <v>0.17111195810048238</v>
      </c>
      <c r="I322" s="12">
        <f t="shared" si="27"/>
        <v>0</v>
      </c>
    </row>
    <row r="323" spans="2:9" ht="12.75" hidden="1">
      <c r="B323" s="1">
        <v>247</v>
      </c>
      <c r="C323" s="21">
        <f t="shared" si="21"/>
        <v>211.06078744541935</v>
      </c>
      <c r="D323" s="14">
        <f t="shared" si="23"/>
        <v>113</v>
      </c>
      <c r="E323" s="15">
        <f t="shared" si="24"/>
        <v>260.17399666700885</v>
      </c>
      <c r="F323" s="11">
        <f t="shared" si="22"/>
        <v>-49.1132092215895</v>
      </c>
      <c r="G323" s="12">
        <f t="shared" si="25"/>
        <v>2412.107320043624</v>
      </c>
      <c r="H323" s="13">
        <f t="shared" si="26"/>
        <v>0.17111195810048238</v>
      </c>
      <c r="I323" s="12">
        <f t="shared" si="27"/>
        <v>0</v>
      </c>
    </row>
    <row r="324" spans="2:9" ht="12.75" hidden="1">
      <c r="B324" s="1">
        <v>248</v>
      </c>
      <c r="C324" s="21">
        <f t="shared" si="21"/>
        <v>210.40258654677555</v>
      </c>
      <c r="D324" s="14">
        <f t="shared" si="23"/>
        <v>112</v>
      </c>
      <c r="E324" s="15">
        <f t="shared" si="24"/>
        <v>262.5028949282632</v>
      </c>
      <c r="F324" s="11">
        <f t="shared" si="22"/>
        <v>-52.10030838148762</v>
      </c>
      <c r="G324" s="12">
        <f t="shared" si="25"/>
        <v>2714.4421334461094</v>
      </c>
      <c r="H324" s="13">
        <f t="shared" si="26"/>
        <v>0.17111195810048238</v>
      </c>
      <c r="I324" s="12">
        <f t="shared" si="27"/>
        <v>0</v>
      </c>
    </row>
    <row r="325" spans="2:9" ht="12.75" hidden="1">
      <c r="B325" s="1">
        <v>249</v>
      </c>
      <c r="C325" s="21">
        <f t="shared" si="21"/>
        <v>209.74977968819448</v>
      </c>
      <c r="D325" s="14">
        <f t="shared" si="23"/>
        <v>111</v>
      </c>
      <c r="E325" s="15">
        <f t="shared" si="24"/>
        <v>264.87369434988176</v>
      </c>
      <c r="F325" s="11">
        <f t="shared" si="22"/>
        <v>-55.12391466168728</v>
      </c>
      <c r="G325" s="12">
        <f t="shared" si="25"/>
        <v>3038.645967628982</v>
      </c>
      <c r="H325" s="13">
        <f t="shared" si="26"/>
        <v>0.17111195810048238</v>
      </c>
      <c r="I325" s="12">
        <f t="shared" si="27"/>
        <v>0</v>
      </c>
    </row>
    <row r="326" spans="2:9" ht="12.75" hidden="1">
      <c r="B326" s="1">
        <v>250</v>
      </c>
      <c r="C326" s="21">
        <f t="shared" si="21"/>
        <v>209.10230212009603</v>
      </c>
      <c r="D326" s="14">
        <f t="shared" si="23"/>
        <v>110</v>
      </c>
      <c r="E326" s="15">
        <f t="shared" si="24"/>
        <v>267.28753768475553</v>
      </c>
      <c r="F326" s="11">
        <f t="shared" si="22"/>
        <v>-58.18523556465951</v>
      </c>
      <c r="G326" s="12">
        <f t="shared" si="25"/>
        <v>3385.5216377149177</v>
      </c>
      <c r="H326" s="13">
        <f t="shared" si="26"/>
        <v>0.17111195810048238</v>
      </c>
      <c r="I326" s="12">
        <f t="shared" si="27"/>
        <v>0</v>
      </c>
    </row>
    <row r="327" spans="2:9" ht="12.75" hidden="1">
      <c r="B327" s="1">
        <v>251</v>
      </c>
      <c r="C327" s="21">
        <f t="shared" si="21"/>
        <v>208.46009012468565</v>
      </c>
      <c r="D327" s="14">
        <f t="shared" si="23"/>
        <v>109</v>
      </c>
      <c r="E327" s="15">
        <f t="shared" si="24"/>
        <v>269.7456096217214</v>
      </c>
      <c r="F327" s="11">
        <f t="shared" si="22"/>
        <v>-61.28551949703578</v>
      </c>
      <c r="G327" s="12">
        <f t="shared" si="25"/>
        <v>3755.9149000215525</v>
      </c>
      <c r="H327" s="13">
        <f t="shared" si="26"/>
        <v>0.17111195810048238</v>
      </c>
      <c r="I327" s="12">
        <f t="shared" si="27"/>
        <v>0</v>
      </c>
    </row>
    <row r="328" spans="2:9" ht="12.75" hidden="1">
      <c r="B328" s="1">
        <v>252</v>
      </c>
      <c r="C328" s="21">
        <f t="shared" si="21"/>
        <v>207.82308099548368</v>
      </c>
      <c r="D328" s="14">
        <f t="shared" si="23"/>
        <v>108</v>
      </c>
      <c r="E328" s="15">
        <f t="shared" si="24"/>
        <v>272.2491387270407</v>
      </c>
      <c r="F328" s="11">
        <f t="shared" si="22"/>
        <v>-64.42605773155702</v>
      </c>
      <c r="G328" s="12">
        <f t="shared" si="25"/>
        <v>4150.716914829918</v>
      </c>
      <c r="H328" s="13">
        <f t="shared" si="26"/>
        <v>0.17111195810048238</v>
      </c>
      <c r="I328" s="12">
        <f t="shared" si="27"/>
        <v>0</v>
      </c>
    </row>
    <row r="329" spans="2:9" ht="12.75" hidden="1">
      <c r="B329" s="1">
        <v>253</v>
      </c>
      <c r="C329" s="21">
        <f t="shared" si="21"/>
        <v>207.19121301733801</v>
      </c>
      <c r="D329" s="14">
        <f t="shared" si="23"/>
        <v>107</v>
      </c>
      <c r="E329" s="15">
        <f t="shared" si="24"/>
        <v>274.7993994947461</v>
      </c>
      <c r="F329" s="11">
        <f t="shared" si="22"/>
        <v>-67.60818647740811</v>
      </c>
      <c r="G329" s="12">
        <f t="shared" si="25"/>
        <v>4570.866878763989</v>
      </c>
      <c r="H329" s="13">
        <f t="shared" si="26"/>
        <v>0.17111195810048238</v>
      </c>
      <c r="I329" s="12">
        <f t="shared" si="27"/>
        <v>0</v>
      </c>
    </row>
    <row r="330" spans="2:9" ht="12.75" hidden="1">
      <c r="B330" s="1">
        <v>254</v>
      </c>
      <c r="C330" s="21">
        <f t="shared" si="21"/>
        <v>206.56442544691063</v>
      </c>
      <c r="D330" s="14">
        <f t="shared" si="23"/>
        <v>106</v>
      </c>
      <c r="E330" s="15">
        <f t="shared" si="24"/>
        <v>277.39771451304756</v>
      </c>
      <c r="F330" s="11">
        <f t="shared" si="22"/>
        <v>-70.83328906613693</v>
      </c>
      <c r="G330" s="12">
        <f t="shared" si="25"/>
        <v>5017.354839926913</v>
      </c>
      <c r="H330" s="13">
        <f t="shared" si="26"/>
        <v>0.17111195810048238</v>
      </c>
      <c r="I330" s="12">
        <f t="shared" si="27"/>
        <v>0</v>
      </c>
    </row>
    <row r="331" spans="2:9" ht="12.75" hidden="1">
      <c r="B331" s="1">
        <v>255</v>
      </c>
      <c r="C331" s="21">
        <f t="shared" si="21"/>
        <v>205.9426584936214</v>
      </c>
      <c r="D331" s="14">
        <f t="shared" si="23"/>
        <v>105</v>
      </c>
      <c r="E331" s="15">
        <f t="shared" si="24"/>
        <v>280.04545675452874</v>
      </c>
      <c r="F331" s="11">
        <f t="shared" si="22"/>
        <v>-74.10279826090735</v>
      </c>
      <c r="G331" s="12">
        <f t="shared" si="25"/>
        <v>5491.224710096733</v>
      </c>
      <c r="H331" s="13">
        <f t="shared" si="26"/>
        <v>0.17111195810048238</v>
      </c>
      <c r="I331" s="12">
        <f t="shared" si="27"/>
        <v>0</v>
      </c>
    </row>
    <row r="332" spans="2:9" ht="12.75" hidden="1">
      <c r="B332" s="1">
        <v>256</v>
      </c>
      <c r="C332" s="21">
        <f t="shared" si="21"/>
        <v>205.32585330104106</v>
      </c>
      <c r="D332" s="14">
        <f t="shared" si="23"/>
        <v>104</v>
      </c>
      <c r="E332" s="15">
        <f t="shared" si="24"/>
        <v>282.7440519984742</v>
      </c>
      <c r="F332" s="11">
        <f t="shared" si="22"/>
        <v>-77.41819869743316</v>
      </c>
      <c r="G332" s="12">
        <f t="shared" si="25"/>
        <v>5993.57748955524</v>
      </c>
      <c r="H332" s="13">
        <f t="shared" si="26"/>
        <v>0.17111195810048238</v>
      </c>
      <c r="I332" s="12">
        <f t="shared" si="27"/>
        <v>0</v>
      </c>
    </row>
    <row r="333" spans="2:9" ht="12.75" hidden="1">
      <c r="B333" s="1">
        <v>257</v>
      </c>
      <c r="C333" s="21">
        <f aca="true" t="shared" si="28" ref="C333:C396">($F$25/12)*POWER((($F$25/12)+1),B333)/(POWER((($F$25/12)+1),B333)-1)*$F$27</f>
        <v>204.7139519287157</v>
      </c>
      <c r="D333" s="14">
        <f t="shared" si="23"/>
        <v>103</v>
      </c>
      <c r="E333" s="15">
        <f t="shared" si="24"/>
        <v>285.49498139430256</v>
      </c>
      <c r="F333" s="11">
        <f aca="true" t="shared" si="29" ref="F333:F396">C333-E333</f>
        <v>-80.78102946558687</v>
      </c>
      <c r="G333" s="12">
        <f t="shared" si="25"/>
        <v>6525.574721520014</v>
      </c>
      <c r="H333" s="13">
        <f t="shared" si="26"/>
        <v>0.17111195810048238</v>
      </c>
      <c r="I333" s="12">
        <f t="shared" si="27"/>
        <v>0</v>
      </c>
    </row>
    <row r="334" spans="2:9" ht="12.75" hidden="1">
      <c r="B334" s="1">
        <v>258</v>
      </c>
      <c r="C334" s="21">
        <f t="shared" si="28"/>
        <v>204.1068973344163</v>
      </c>
      <c r="D334" s="14">
        <f aca="true" t="shared" si="30" ref="D334:D397">IF($F$50-B334=0,1,$F$50-B334)</f>
        <v>102</v>
      </c>
      <c r="E334" s="15">
        <f aca="true" t="shared" si="31" ref="E334:E397">(2%/12)*POWER(((2%/12)+1),D334)/(POWER(((2%/12)+1),D334)-1)*(($E$11+$E$12)+((POWER((1+1/100),(($C$28*12+B334)/12))-1)*($E$11+$E$12)))</f>
        <v>288.2997841757856</v>
      </c>
      <c r="F334" s="11">
        <f t="shared" si="29"/>
        <v>-84.1928868413693</v>
      </c>
      <c r="G334" s="12">
        <f aca="true" t="shared" si="32" ref="G334:G397">F334*F334</f>
        <v>7088.442194683616</v>
      </c>
      <c r="H334" s="13">
        <f aca="true" t="shared" si="33" ref="H334:H397">MIN($G$77:$G$434)</f>
        <v>0.17111195810048238</v>
      </c>
      <c r="I334" s="12">
        <f aca="true" t="shared" si="34" ref="I334:I397">IF(G334=H334,B334,0)</f>
        <v>0</v>
      </c>
    </row>
    <row r="335" spans="2:9" ht="12.75" hidden="1">
      <c r="B335" s="1">
        <v>259</v>
      </c>
      <c r="C335" s="21">
        <f t="shared" si="28"/>
        <v>203.50463335679794</v>
      </c>
      <c r="D335" s="14">
        <f t="shared" si="30"/>
        <v>101</v>
      </c>
      <c r="E335" s="15">
        <f t="shared" si="31"/>
        <v>291.1600605365134</v>
      </c>
      <c r="F335" s="11">
        <f t="shared" si="29"/>
        <v>-87.65542717971547</v>
      </c>
      <c r="G335" s="12">
        <f t="shared" si="32"/>
        <v>7683.473914058402</v>
      </c>
      <c r="H335" s="13">
        <f t="shared" si="33"/>
        <v>0.17111195810048238</v>
      </c>
      <c r="I335" s="12">
        <f t="shared" si="34"/>
        <v>0</v>
      </c>
    </row>
    <row r="336" spans="2:9" ht="12.75" hidden="1">
      <c r="B336" s="1">
        <v>260</v>
      </c>
      <c r="C336" s="21">
        <f t="shared" si="28"/>
        <v>202.9071046984605</v>
      </c>
      <c r="D336" s="14">
        <f t="shared" si="30"/>
        <v>100</v>
      </c>
      <c r="E336" s="15">
        <f t="shared" si="31"/>
        <v>294.07747467788636</v>
      </c>
      <c r="F336" s="11">
        <f t="shared" si="29"/>
        <v>-91.17036997942586</v>
      </c>
      <c r="G336" s="12">
        <f t="shared" si="32"/>
        <v>8312.036362185396</v>
      </c>
      <c r="H336" s="13">
        <f t="shared" si="33"/>
        <v>0.17111195810048238</v>
      </c>
      <c r="I336" s="12">
        <f t="shared" si="34"/>
        <v>0</v>
      </c>
    </row>
    <row r="337" spans="2:9" ht="12.75" hidden="1">
      <c r="B337" s="1">
        <v>261</v>
      </c>
      <c r="C337" s="21">
        <f t="shared" si="28"/>
        <v>202.31425690939713</v>
      </c>
      <c r="D337" s="14">
        <f t="shared" si="30"/>
        <v>99</v>
      </c>
      <c r="E337" s="15">
        <f t="shared" si="31"/>
        <v>297.0537580418306</v>
      </c>
      <c r="F337" s="11">
        <f t="shared" si="29"/>
        <v>-94.73950113243345</v>
      </c>
      <c r="G337" s="12">
        <f t="shared" si="32"/>
        <v>8975.573074822358</v>
      </c>
      <c r="H337" s="13">
        <f t="shared" si="33"/>
        <v>0.17111195810048238</v>
      </c>
      <c r="I337" s="12">
        <f t="shared" si="34"/>
        <v>0</v>
      </c>
    </row>
    <row r="338" spans="2:9" ht="12.75" hidden="1">
      <c r="B338" s="1">
        <v>262</v>
      </c>
      <c r="C338" s="21">
        <f t="shared" si="28"/>
        <v>201.72603637082364</v>
      </c>
      <c r="D338" s="14">
        <f t="shared" si="30"/>
        <v>98</v>
      </c>
      <c r="E338" s="15">
        <f t="shared" si="31"/>
        <v>300.09071274143776</v>
      </c>
      <c r="F338" s="11">
        <f t="shared" si="29"/>
        <v>-98.36467637061412</v>
      </c>
      <c r="G338" s="12">
        <f t="shared" si="32"/>
        <v>9675.609557495653</v>
      </c>
      <c r="H338" s="13">
        <f t="shared" si="33"/>
        <v>0.17111195810048238</v>
      </c>
      <c r="I338" s="12">
        <f t="shared" si="34"/>
        <v>0</v>
      </c>
    </row>
    <row r="339" spans="2:9" ht="12.75" hidden="1">
      <c r="B339" s="1">
        <v>263</v>
      </c>
      <c r="C339" s="21">
        <f t="shared" si="28"/>
        <v>201.14239027937484</v>
      </c>
      <c r="D339" s="14">
        <f t="shared" si="30"/>
        <v>97</v>
      </c>
      <c r="E339" s="15">
        <f t="shared" si="31"/>
        <v>303.1902152038092</v>
      </c>
      <c r="F339" s="11">
        <f t="shared" si="29"/>
        <v>-102.04782492443437</v>
      </c>
      <c r="G339" s="12">
        <f t="shared" si="32"/>
        <v>10413.758571808008</v>
      </c>
      <c r="H339" s="13">
        <f t="shared" si="33"/>
        <v>0.17111195810048238</v>
      </c>
      <c r="I339" s="12">
        <f t="shared" si="34"/>
        <v>0</v>
      </c>
    </row>
    <row r="340" spans="2:9" ht="12.75" hidden="1">
      <c r="B340" s="1">
        <v>264</v>
      </c>
      <c r="C340" s="21">
        <f t="shared" si="28"/>
        <v>200.563266631662</v>
      </c>
      <c r="D340" s="14">
        <f t="shared" si="30"/>
        <v>96</v>
      </c>
      <c r="E340" s="15">
        <f t="shared" si="31"/>
        <v>306.35422004057733</v>
      </c>
      <c r="F340" s="11">
        <f t="shared" si="29"/>
        <v>-105.79095340891533</v>
      </c>
      <c r="G340" s="12">
        <f t="shared" si="32"/>
        <v>11191.725823167293</v>
      </c>
      <c r="H340" s="13">
        <f t="shared" si="33"/>
        <v>0.17111195810048238</v>
      </c>
      <c r="I340" s="12">
        <f t="shared" si="34"/>
        <v>0</v>
      </c>
    </row>
    <row r="341" spans="2:9" ht="12.75" hidden="1">
      <c r="B341" s="1">
        <v>265</v>
      </c>
      <c r="C341" s="21">
        <f t="shared" si="28"/>
        <v>199.98861420917842</v>
      </c>
      <c r="D341" s="14">
        <f t="shared" si="30"/>
        <v>95</v>
      </c>
      <c r="E341" s="15">
        <f t="shared" si="31"/>
        <v>309.5847641628804</v>
      </c>
      <c r="F341" s="11">
        <f t="shared" si="29"/>
        <v>-109.59614995370197</v>
      </c>
      <c r="G341" s="12">
        <f t="shared" si="32"/>
        <v>12011.316084674329</v>
      </c>
      <c r="H341" s="13">
        <f t="shared" si="33"/>
        <v>0.17111195810048238</v>
      </c>
      <c r="I341" s="12">
        <f t="shared" si="34"/>
        <v>0</v>
      </c>
    </row>
    <row r="342" spans="2:9" ht="12.75" hidden="1">
      <c r="B342" s="1">
        <v>266</v>
      </c>
      <c r="C342" s="21">
        <f t="shared" si="28"/>
        <v>199.41838256354632</v>
      </c>
      <c r="D342" s="14">
        <f t="shared" si="30"/>
        <v>94</v>
      </c>
      <c r="E342" s="15">
        <f t="shared" si="31"/>
        <v>312.8839711589954</v>
      </c>
      <c r="F342" s="11">
        <f t="shared" si="29"/>
        <v>-113.46558859544908</v>
      </c>
      <c r="G342" s="12">
        <f t="shared" si="32"/>
        <v>12874.439795311704</v>
      </c>
      <c r="H342" s="13">
        <f t="shared" si="33"/>
        <v>0.17111195810048238</v>
      </c>
      <c r="I342" s="12">
        <f t="shared" si="34"/>
        <v>0</v>
      </c>
    </row>
    <row r="343" spans="2:9" ht="12.75" hidden="1">
      <c r="B343" s="1">
        <v>267</v>
      </c>
      <c r="C343" s="21">
        <f t="shared" si="28"/>
        <v>198.8525220020948</v>
      </c>
      <c r="D343" s="14">
        <f t="shared" si="30"/>
        <v>93</v>
      </c>
      <c r="E343" s="15">
        <f t="shared" si="31"/>
        <v>316.25405595439986</v>
      </c>
      <c r="F343" s="11">
        <f t="shared" si="29"/>
        <v>-117.40153395230507</v>
      </c>
      <c r="G343" s="12">
        <f t="shared" si="32"/>
        <v>13783.12017435424</v>
      </c>
      <c r="H343" s="13">
        <f t="shared" si="33"/>
        <v>0.17111195810048238</v>
      </c>
      <c r="I343" s="12">
        <f t="shared" si="34"/>
        <v>0</v>
      </c>
    </row>
    <row r="344" spans="2:9" ht="12.75" hidden="1">
      <c r="B344" s="1">
        <v>268</v>
      </c>
      <c r="C344" s="21">
        <f t="shared" si="28"/>
        <v>198.2909835737612</v>
      </c>
      <c r="D344" s="14">
        <f t="shared" si="30"/>
        <v>92</v>
      </c>
      <c r="E344" s="15">
        <f t="shared" si="31"/>
        <v>319.69732977575217</v>
      </c>
      <c r="F344" s="11">
        <f t="shared" si="29"/>
        <v>-121.40634620199097</v>
      </c>
      <c r="G344" s="12">
        <f t="shared" si="32"/>
        <v>14739.500898117687</v>
      </c>
      <c r="H344" s="13">
        <f t="shared" si="33"/>
        <v>0.17111195810048238</v>
      </c>
      <c r="I344" s="12">
        <f t="shared" si="34"/>
        <v>0</v>
      </c>
    </row>
    <row r="345" spans="2:9" ht="12.75" hidden="1">
      <c r="B345" s="1">
        <v>269</v>
      </c>
      <c r="C345" s="21">
        <f t="shared" si="28"/>
        <v>197.7337190553062</v>
      </c>
      <c r="D345" s="14">
        <f t="shared" si="30"/>
        <v>91</v>
      </c>
      <c r="E345" s="15">
        <f t="shared" si="31"/>
        <v>323.21620544216074</v>
      </c>
      <c r="F345" s="11">
        <f t="shared" si="29"/>
        <v>-125.48248638685453</v>
      </c>
      <c r="G345" s="12">
        <f t="shared" si="32"/>
        <v>15745.854389827133</v>
      </c>
      <c r="H345" s="13">
        <f t="shared" si="33"/>
        <v>0.17111195810048238</v>
      </c>
      <c r="I345" s="12">
        <f t="shared" si="34"/>
        <v>0</v>
      </c>
    </row>
    <row r="346" spans="2:9" ht="12.75" hidden="1">
      <c r="B346" s="1">
        <v>270</v>
      </c>
      <c r="C346" s="21">
        <f t="shared" si="28"/>
        <v>197.18068093783637</v>
      </c>
      <c r="D346" s="14">
        <f t="shared" si="30"/>
        <v>90</v>
      </c>
      <c r="E346" s="15">
        <f t="shared" si="31"/>
        <v>326.81320300921317</v>
      </c>
      <c r="F346" s="11">
        <f t="shared" si="29"/>
        <v>-129.6325220713768</v>
      </c>
      <c r="G346" s="12">
        <f t="shared" si="32"/>
        <v>16804.590778585993</v>
      </c>
      <c r="H346" s="13">
        <f t="shared" si="33"/>
        <v>0.17111195810048238</v>
      </c>
      <c r="I346" s="12">
        <f t="shared" si="34"/>
        <v>0</v>
      </c>
    </row>
    <row r="347" spans="2:9" ht="12.75" hidden="1">
      <c r="B347" s="1">
        <v>271</v>
      </c>
      <c r="C347" s="21">
        <f t="shared" si="28"/>
        <v>196.63182241362315</v>
      </c>
      <c r="D347" s="14">
        <f t="shared" si="30"/>
        <v>89</v>
      </c>
      <c r="E347" s="15">
        <f t="shared" si="31"/>
        <v>330.49095579349483</v>
      </c>
      <c r="F347" s="11">
        <f t="shared" si="29"/>
        <v>-133.85913337987168</v>
      </c>
      <c r="G347" s="12">
        <f t="shared" si="32"/>
        <v>17918.267589210278</v>
      </c>
      <c r="H347" s="13">
        <f t="shared" si="33"/>
        <v>0.17111195810048238</v>
      </c>
      <c r="I347" s="12">
        <f t="shared" si="34"/>
        <v>0</v>
      </c>
    </row>
    <row r="348" spans="2:9" ht="12.75" hidden="1">
      <c r="B348" s="1">
        <v>272</v>
      </c>
      <c r="C348" s="21">
        <f t="shared" si="28"/>
        <v>196.0870973632155</v>
      </c>
      <c r="D348" s="14">
        <f t="shared" si="30"/>
        <v>88</v>
      </c>
      <c r="E348" s="15">
        <f t="shared" si="31"/>
        <v>334.2522168078746</v>
      </c>
      <c r="F348" s="11">
        <f t="shared" si="29"/>
        <v>-138.16511944465913</v>
      </c>
      <c r="G348" s="12">
        <f t="shared" si="32"/>
        <v>19089.600231156925</v>
      </c>
      <c r="H348" s="13">
        <f t="shared" si="33"/>
        <v>0.17111195810048238</v>
      </c>
      <c r="I348" s="12">
        <f t="shared" si="34"/>
        <v>0</v>
      </c>
    </row>
    <row r="349" spans="2:9" ht="12.75" hidden="1">
      <c r="B349" s="1">
        <v>273</v>
      </c>
      <c r="C349" s="21">
        <f t="shared" si="28"/>
        <v>195.54646034283277</v>
      </c>
      <c r="D349" s="14">
        <f t="shared" si="30"/>
        <v>87</v>
      </c>
      <c r="E349" s="15">
        <f t="shared" si="31"/>
        <v>338.09986564060216</v>
      </c>
      <c r="F349" s="11">
        <f t="shared" si="29"/>
        <v>-142.5534052977694</v>
      </c>
      <c r="G349" s="12">
        <f t="shared" si="32"/>
        <v>20321.473361990105</v>
      </c>
      <c r="H349" s="13">
        <f t="shared" si="33"/>
        <v>0.17111195810048238</v>
      </c>
      <c r="I349" s="12">
        <f t="shared" si="34"/>
        <v>0</v>
      </c>
    </row>
    <row r="350" spans="2:9" ht="12.75" hidden="1">
      <c r="B350" s="1">
        <v>274</v>
      </c>
      <c r="C350" s="21">
        <f t="shared" si="28"/>
        <v>195.0098665720357</v>
      </c>
      <c r="D350" s="14">
        <f t="shared" si="30"/>
        <v>86</v>
      </c>
      <c r="E350" s="15">
        <f t="shared" si="31"/>
        <v>342.03691581433895</v>
      </c>
      <c r="F350" s="11">
        <f t="shared" si="29"/>
        <v>-147.02704924230326</v>
      </c>
      <c r="G350" s="12">
        <f t="shared" si="32"/>
        <v>21616.953208898667</v>
      </c>
      <c r="H350" s="13">
        <f t="shared" si="33"/>
        <v>0.17111195810048238</v>
      </c>
      <c r="I350" s="12">
        <f t="shared" si="34"/>
        <v>0</v>
      </c>
    </row>
    <row r="351" spans="2:9" ht="12.75" hidden="1">
      <c r="B351" s="1">
        <v>275</v>
      </c>
      <c r="C351" s="21">
        <f t="shared" si="28"/>
        <v>194.47727192166553</v>
      </c>
      <c r="D351" s="14">
        <f t="shared" si="30"/>
        <v>85</v>
      </c>
      <c r="E351" s="15">
        <f t="shared" si="31"/>
        <v>346.06652266465386</v>
      </c>
      <c r="F351" s="11">
        <f t="shared" si="29"/>
        <v>-151.58925074298833</v>
      </c>
      <c r="G351" s="12">
        <f t="shared" si="32"/>
        <v>22979.300940820587</v>
      </c>
      <c r="H351" s="13">
        <f t="shared" si="33"/>
        <v>0.17111195810048238</v>
      </c>
      <c r="I351" s="12">
        <f t="shared" si="34"/>
        <v>0</v>
      </c>
    </row>
    <row r="352" spans="2:9" ht="12.75" hidden="1">
      <c r="B352" s="1">
        <v>276</v>
      </c>
      <c r="C352" s="21">
        <f t="shared" si="28"/>
        <v>193.94863290204543</v>
      </c>
      <c r="D352" s="14">
        <f t="shared" si="30"/>
        <v>84</v>
      </c>
      <c r="E352" s="15">
        <f t="shared" si="31"/>
        <v>350.1919917812719</v>
      </c>
      <c r="F352" s="11">
        <f t="shared" si="29"/>
        <v>-156.24335887922646</v>
      </c>
      <c r="G352" s="12">
        <f t="shared" si="32"/>
        <v>24411.987193862755</v>
      </c>
      <c r="H352" s="13">
        <f t="shared" si="33"/>
        <v>0.17111195810048238</v>
      </c>
      <c r="I352" s="12">
        <f t="shared" si="34"/>
        <v>0</v>
      </c>
    </row>
    <row r="353" spans="2:9" ht="12.75" hidden="1">
      <c r="B353" s="1">
        <v>277</v>
      </c>
      <c r="C353" s="21">
        <f t="shared" si="28"/>
        <v>193.42390665143782</v>
      </c>
      <c r="D353" s="14">
        <f t="shared" si="30"/>
        <v>83</v>
      </c>
      <c r="E353" s="15">
        <f t="shared" si="31"/>
        <v>354.41678805952273</v>
      </c>
      <c r="F353" s="11">
        <f t="shared" si="29"/>
        <v>-160.9928814080849</v>
      </c>
      <c r="G353" s="12">
        <f t="shared" si="32"/>
        <v>25918.707864077693</v>
      </c>
      <c r="H353" s="13">
        <f t="shared" si="33"/>
        <v>0.17111195810048238</v>
      </c>
      <c r="I353" s="12">
        <f t="shared" si="34"/>
        <v>0</v>
      </c>
    </row>
    <row r="354" spans="2:9" ht="12.75" hidden="1">
      <c r="B354" s="1">
        <v>278</v>
      </c>
      <c r="C354" s="21">
        <f t="shared" si="28"/>
        <v>192.90305092475035</v>
      </c>
      <c r="D354" s="14">
        <f t="shared" si="30"/>
        <v>82</v>
      </c>
      <c r="E354" s="15">
        <f t="shared" si="31"/>
        <v>358.74454541410216</v>
      </c>
      <c r="F354" s="11">
        <f t="shared" si="29"/>
        <v>-165.84149448935182</v>
      </c>
      <c r="G354" s="12">
        <f t="shared" si="32"/>
        <v>27503.40129446171</v>
      </c>
      <c r="H354" s="13">
        <f t="shared" si="33"/>
        <v>0.17111195810048238</v>
      </c>
      <c r="I354" s="12">
        <f t="shared" si="34"/>
        <v>0</v>
      </c>
    </row>
    <row r="355" spans="2:9" ht="12.75" hidden="1">
      <c r="B355" s="1">
        <v>279</v>
      </c>
      <c r="C355" s="21">
        <f t="shared" si="28"/>
        <v>192.38602408248477</v>
      </c>
      <c r="D355" s="14">
        <f t="shared" si="30"/>
        <v>81</v>
      </c>
      <c r="E355" s="15">
        <f t="shared" si="31"/>
        <v>363.1790772123635</v>
      </c>
      <c r="F355" s="11">
        <f t="shared" si="29"/>
        <v>-170.79305312987873</v>
      </c>
      <c r="G355" s="12">
        <f t="shared" si="32"/>
        <v>29170.266997425577</v>
      </c>
      <c r="H355" s="13">
        <f t="shared" si="33"/>
        <v>0.17111195810048238</v>
      </c>
      <c r="I355" s="12">
        <f t="shared" si="34"/>
        <v>0</v>
      </c>
    </row>
    <row r="356" spans="2:9" ht="12.75" hidden="1">
      <c r="B356" s="1">
        <v>280</v>
      </c>
      <c r="C356" s="21">
        <f t="shared" si="28"/>
        <v>191.8727850799233</v>
      </c>
      <c r="D356" s="14">
        <f t="shared" si="30"/>
        <v>80</v>
      </c>
      <c r="E356" s="15">
        <f t="shared" si="31"/>
        <v>367.7243874901104</v>
      </c>
      <c r="F356" s="11">
        <f t="shared" si="29"/>
        <v>-175.85160241018713</v>
      </c>
      <c r="G356" s="12">
        <f t="shared" si="32"/>
        <v>30923.78607023053</v>
      </c>
      <c r="H356" s="13">
        <f t="shared" si="33"/>
        <v>0.17111195810048238</v>
      </c>
      <c r="I356" s="12">
        <f t="shared" si="34"/>
        <v>0</v>
      </c>
    </row>
    <row r="357" spans="2:9" ht="12.75" hidden="1">
      <c r="B357" s="1">
        <v>281</v>
      </c>
      <c r="C357" s="21">
        <f t="shared" si="28"/>
        <v>191.3632934565451</v>
      </c>
      <c r="D357" s="14">
        <f t="shared" si="30"/>
        <v>79</v>
      </c>
      <c r="E357" s="15">
        <f t="shared" si="31"/>
        <v>372.3846830192205</v>
      </c>
      <c r="F357" s="11">
        <f t="shared" si="29"/>
        <v>-181.0213895626754</v>
      </c>
      <c r="G357" s="12">
        <f t="shared" si="32"/>
        <v>32768.74347920189</v>
      </c>
      <c r="H357" s="13">
        <f t="shared" si="33"/>
        <v>0.17111195810048238</v>
      </c>
      <c r="I357" s="12">
        <f t="shared" si="34"/>
        <v>0</v>
      </c>
    </row>
    <row r="358" spans="2:9" ht="12.75" hidden="1">
      <c r="B358" s="1">
        <v>282</v>
      </c>
      <c r="C358" s="21">
        <f t="shared" si="28"/>
        <v>190.85750932566833</v>
      </c>
      <c r="D358" s="14">
        <f t="shared" si="30"/>
        <v>78</v>
      </c>
      <c r="E358" s="15">
        <f t="shared" si="31"/>
        <v>377.16438630354423</v>
      </c>
      <c r="F358" s="11">
        <f t="shared" si="29"/>
        <v>-186.3068769778759</v>
      </c>
      <c r="G358" s="12">
        <f t="shared" si="32"/>
        <v>34710.252409249384</v>
      </c>
      <c r="H358" s="13">
        <f t="shared" si="33"/>
        <v>0.17111195810048238</v>
      </c>
      <c r="I358" s="12">
        <f t="shared" si="34"/>
        <v>0</v>
      </c>
    </row>
    <row r="359" spans="2:9" ht="12.75" hidden="1">
      <c r="B359" s="1">
        <v>283</v>
      </c>
      <c r="C359" s="21">
        <f t="shared" si="28"/>
        <v>190.35539336431137</v>
      </c>
      <c r="D359" s="14">
        <f t="shared" si="30"/>
        <v>77</v>
      </c>
      <c r="E359" s="15">
        <f t="shared" si="31"/>
        <v>382.06814958747975</v>
      </c>
      <c r="F359" s="11">
        <f t="shared" si="29"/>
        <v>-191.71275622316838</v>
      </c>
      <c r="G359" s="12">
        <f t="shared" si="32"/>
        <v>36753.78089868399</v>
      </c>
      <c r="H359" s="13">
        <f t="shared" si="33"/>
        <v>0.17111195810048238</v>
      </c>
      <c r="I359" s="12">
        <f t="shared" si="34"/>
        <v>0</v>
      </c>
    </row>
    <row r="360" spans="2:9" ht="12.75" hidden="1">
      <c r="B360" s="1">
        <v>284</v>
      </c>
      <c r="C360" s="21">
        <f t="shared" si="28"/>
        <v>189.85690680326917</v>
      </c>
      <c r="D360" s="14">
        <f t="shared" si="30"/>
        <v>76</v>
      </c>
      <c r="E360" s="15">
        <f t="shared" si="31"/>
        <v>387.10086997047875</v>
      </c>
      <c r="F360" s="11">
        <f t="shared" si="29"/>
        <v>-197.24396316720959</v>
      </c>
      <c r="G360" s="12">
        <f t="shared" si="32"/>
        <v>38905.18100590753</v>
      </c>
      <c r="H360" s="13">
        <f t="shared" si="33"/>
        <v>0.17111195810048238</v>
      </c>
      <c r="I360" s="12">
        <f t="shared" si="34"/>
        <v>0</v>
      </c>
    </row>
    <row r="361" spans="2:9" ht="12.75" hidden="1">
      <c r="B361" s="1">
        <v>285</v>
      </c>
      <c r="C361" s="21">
        <f t="shared" si="28"/>
        <v>189.3620114173974</v>
      </c>
      <c r="D361" s="14">
        <f t="shared" si="30"/>
        <v>75</v>
      </c>
      <c r="E361" s="15">
        <f t="shared" si="31"/>
        <v>392.26770573071724</v>
      </c>
      <c r="F361" s="11">
        <f t="shared" si="29"/>
        <v>-202.90569431331983</v>
      </c>
      <c r="G361" s="12">
        <f t="shared" si="32"/>
        <v>41170.72078477039</v>
      </c>
      <c r="H361" s="13">
        <f t="shared" si="33"/>
        <v>0.17111195810048238</v>
      </c>
      <c r="I361" s="12">
        <f t="shared" si="34"/>
        <v>0</v>
      </c>
    </row>
    <row r="362" spans="2:9" ht="12.75" hidden="1">
      <c r="B362" s="1">
        <v>286</v>
      </c>
      <c r="C362" s="21">
        <f t="shared" si="28"/>
        <v>188.87066951610154</v>
      </c>
      <c r="D362" s="14">
        <f t="shared" si="30"/>
        <v>74</v>
      </c>
      <c r="E362" s="15">
        <f t="shared" si="31"/>
        <v>397.57409397230884</v>
      </c>
      <c r="F362" s="11">
        <f t="shared" si="29"/>
        <v>-208.7034244562073</v>
      </c>
      <c r="G362" s="12">
        <f t="shared" si="32"/>
        <v>43557.119379747826</v>
      </c>
      <c r="H362" s="13">
        <f t="shared" si="33"/>
        <v>0.17111195810048238</v>
      </c>
      <c r="I362" s="12">
        <f t="shared" si="34"/>
        <v>0</v>
      </c>
    </row>
    <row r="363" spans="2:9" ht="12.75" hidden="1">
      <c r="B363" s="1">
        <v>287</v>
      </c>
      <c r="C363" s="21">
        <f t="shared" si="28"/>
        <v>188.38284393402324</v>
      </c>
      <c r="D363" s="14">
        <f t="shared" si="30"/>
        <v>73</v>
      </c>
      <c r="E363" s="15">
        <f t="shared" si="31"/>
        <v>403.02576972296896</v>
      </c>
      <c r="F363" s="11">
        <f t="shared" si="29"/>
        <v>-214.64292578894572</v>
      </c>
      <c r="G363" s="12">
        <f t="shared" si="32"/>
        <v>46071.58559123886</v>
      </c>
      <c r="H363" s="13">
        <f t="shared" si="33"/>
        <v>0.17111195810048238</v>
      </c>
      <c r="I363" s="12">
        <f t="shared" si="34"/>
        <v>0</v>
      </c>
    </row>
    <row r="364" spans="2:9" ht="12.75" hidden="1">
      <c r="B364" s="1">
        <v>288</v>
      </c>
      <c r="C364" s="21">
        <f t="shared" si="28"/>
        <v>187.89849802192288</v>
      </c>
      <c r="D364" s="14">
        <f t="shared" si="30"/>
        <v>72</v>
      </c>
      <c r="E364" s="15">
        <f t="shared" si="31"/>
        <v>408.62878662315524</v>
      </c>
      <c r="F364" s="11">
        <f t="shared" si="29"/>
        <v>-220.73028860123236</v>
      </c>
      <c r="G364" s="12">
        <f t="shared" si="32"/>
        <v>48721.860305983326</v>
      </c>
      <c r="H364" s="13">
        <f t="shared" si="33"/>
        <v>0.17111195810048238</v>
      </c>
      <c r="I364" s="12">
        <f t="shared" si="34"/>
        <v>0</v>
      </c>
    </row>
    <row r="365" spans="2:9" ht="12.75" hidden="1">
      <c r="B365" s="1">
        <v>289</v>
      </c>
      <c r="C365" s="21">
        <f t="shared" si="28"/>
        <v>187.41759563774946</v>
      </c>
      <c r="D365" s="14">
        <f t="shared" si="30"/>
        <v>71</v>
      </c>
      <c r="E365" s="15">
        <f t="shared" si="31"/>
        <v>414.3895393635862</v>
      </c>
      <c r="F365" s="11">
        <f t="shared" si="29"/>
        <v>-226.97194372583675</v>
      </c>
      <c r="G365" s="12">
        <f t="shared" si="32"/>
        <v>51516.263238684405</v>
      </c>
      <c r="H365" s="13">
        <f t="shared" si="33"/>
        <v>0.17111195810048238</v>
      </c>
      <c r="I365" s="12">
        <f t="shared" si="34"/>
        <v>0</v>
      </c>
    </row>
    <row r="366" spans="2:9" ht="12.75" hidden="1">
      <c r="B366" s="1">
        <v>290</v>
      </c>
      <c r="C366" s="21">
        <f t="shared" si="28"/>
        <v>186.94010113789614</v>
      </c>
      <c r="D366" s="14">
        <f t="shared" si="30"/>
        <v>70</v>
      </c>
      <c r="E366" s="15">
        <f t="shared" si="31"/>
        <v>420.31478804596964</v>
      </c>
      <c r="F366" s="11">
        <f t="shared" si="29"/>
        <v>-233.3746869080735</v>
      </c>
      <c r="G366" s="12">
        <f t="shared" si="32"/>
        <v>54463.744489441335</v>
      </c>
      <c r="H366" s="13">
        <f t="shared" si="33"/>
        <v>0.17111195810048238</v>
      </c>
      <c r="I366" s="12">
        <f t="shared" si="34"/>
        <v>0</v>
      </c>
    </row>
    <row r="367" spans="2:9" ht="12.75" hidden="1">
      <c r="B367" s="1">
        <v>291</v>
      </c>
      <c r="C367" s="21">
        <f t="shared" si="28"/>
        <v>186.46597936863614</v>
      </c>
      <c r="D367" s="14">
        <f t="shared" si="30"/>
        <v>69</v>
      </c>
      <c r="E367" s="15">
        <f t="shared" si="31"/>
        <v>426.4116846620644</v>
      </c>
      <c r="F367" s="11">
        <f t="shared" si="29"/>
        <v>-239.94570529342823</v>
      </c>
      <c r="G367" s="12">
        <f t="shared" si="32"/>
        <v>57573.94148876071</v>
      </c>
      <c r="H367" s="13">
        <f t="shared" si="33"/>
        <v>0.17111195810048238</v>
      </c>
      <c r="I367" s="12">
        <f t="shared" si="34"/>
        <v>0</v>
      </c>
    </row>
    <row r="368" spans="2:9" ht="12.75" hidden="1">
      <c r="B368" s="1">
        <v>292</v>
      </c>
      <c r="C368" s="21">
        <f t="shared" si="28"/>
        <v>185.99519565773437</v>
      </c>
      <c r="D368" s="14">
        <f t="shared" si="30"/>
        <v>68</v>
      </c>
      <c r="E368" s="15">
        <f t="shared" si="31"/>
        <v>432.6878019091236</v>
      </c>
      <c r="F368" s="11">
        <f t="shared" si="29"/>
        <v>-246.69260625138924</v>
      </c>
      <c r="G368" s="12">
        <f t="shared" si="32"/>
        <v>60857.24197910297</v>
      </c>
      <c r="H368" s="13">
        <f t="shared" si="33"/>
        <v>0.17111195810048238</v>
      </c>
      <c r="I368" s="12">
        <f t="shared" si="34"/>
        <v>0</v>
      </c>
    </row>
    <row r="369" spans="2:9" ht="12.75" hidden="1">
      <c r="B369" s="1">
        <v>293</v>
      </c>
      <c r="C369" s="21">
        <f t="shared" si="28"/>
        <v>185.52771580623096</v>
      </c>
      <c r="D369" s="14">
        <f t="shared" si="30"/>
        <v>67</v>
      </c>
      <c r="E369" s="15">
        <f t="shared" si="31"/>
        <v>439.15116458582685</v>
      </c>
      <c r="F369" s="11">
        <f t="shared" si="29"/>
        <v>-253.6234487795959</v>
      </c>
      <c r="G369" s="12">
        <f t="shared" si="32"/>
        <v>64324.8537708563</v>
      </c>
      <c r="H369" s="13">
        <f t="shared" si="33"/>
        <v>0.17111195810048238</v>
      </c>
      <c r="I369" s="12">
        <f t="shared" si="34"/>
        <v>0</v>
      </c>
    </row>
    <row r="370" spans="2:9" ht="12.75" hidden="1">
      <c r="B370" s="1">
        <v>294</v>
      </c>
      <c r="C370" s="21">
        <f t="shared" si="28"/>
        <v>185.06350608039236</v>
      </c>
      <c r="D370" s="14">
        <f t="shared" si="30"/>
        <v>66</v>
      </c>
      <c r="E370" s="15">
        <f t="shared" si="31"/>
        <v>445.8102838423887</v>
      </c>
      <c r="F370" s="11">
        <f t="shared" si="29"/>
        <v>-260.7467777619963</v>
      </c>
      <c r="G370" s="12">
        <f t="shared" si="32"/>
        <v>67988.8821132639</v>
      </c>
      <c r="H370" s="13">
        <f t="shared" si="33"/>
        <v>0.17111195810048238</v>
      </c>
      <c r="I370" s="12">
        <f t="shared" si="34"/>
        <v>0</v>
      </c>
    </row>
    <row r="371" spans="2:9" ht="12.75" hidden="1">
      <c r="B371" s="1">
        <v>295</v>
      </c>
      <c r="C371" s="21">
        <f t="shared" si="28"/>
        <v>184.60253320382583</v>
      </c>
      <c r="D371" s="14">
        <f t="shared" si="30"/>
        <v>65</v>
      </c>
      <c r="E371" s="15">
        <f t="shared" si="31"/>
        <v>452.6741945922135</v>
      </c>
      <c r="F371" s="11">
        <f t="shared" si="29"/>
        <v>-268.07166138838767</v>
      </c>
      <c r="G371" s="12">
        <f t="shared" si="32"/>
        <v>71862.41563953037</v>
      </c>
      <c r="H371" s="13">
        <f t="shared" si="33"/>
        <v>0.17111195810048238</v>
      </c>
      <c r="I371" s="12">
        <f t="shared" si="34"/>
        <v>0</v>
      </c>
    </row>
    <row r="372" spans="2:9" ht="12.75" hidden="1">
      <c r="B372" s="1">
        <v>296</v>
      </c>
      <c r="C372" s="21">
        <f t="shared" si="28"/>
        <v>184.14476434975506</v>
      </c>
      <c r="D372" s="14">
        <f t="shared" si="30"/>
        <v>64</v>
      </c>
      <c r="E372" s="15">
        <f t="shared" si="31"/>
        <v>459.7524964308989</v>
      </c>
      <c r="F372" s="11">
        <f t="shared" si="29"/>
        <v>-275.6077320811438</v>
      </c>
      <c r="G372" s="12">
        <f t="shared" si="32"/>
        <v>75959.62198291154</v>
      </c>
      <c r="H372" s="13">
        <f t="shared" si="33"/>
        <v>0.17111195810048238</v>
      </c>
      <c r="I372" s="12">
        <f t="shared" si="34"/>
        <v>0</v>
      </c>
    </row>
    <row r="373" spans="2:9" ht="12.75" hidden="1">
      <c r="B373" s="1">
        <v>297</v>
      </c>
      <c r="C373" s="21">
        <f t="shared" si="28"/>
        <v>183.69016713345005</v>
      </c>
      <c r="D373" s="14">
        <f t="shared" si="30"/>
        <v>63</v>
      </c>
      <c r="E373" s="15">
        <f t="shared" si="31"/>
        <v>467.0553984522776</v>
      </c>
      <c r="F373" s="11">
        <f t="shared" si="29"/>
        <v>-283.36523131882757</v>
      </c>
      <c r="G373" s="12">
        <f t="shared" si="32"/>
        <v>80295.85432037266</v>
      </c>
      <c r="H373" s="13">
        <f t="shared" si="33"/>
        <v>0.17111195810048238</v>
      </c>
      <c r="I373" s="12">
        <f t="shared" si="34"/>
        <v>0</v>
      </c>
    </row>
    <row r="374" spans="2:9" ht="12.75" hidden="1">
      <c r="B374" s="1">
        <v>298</v>
      </c>
      <c r="C374" s="21">
        <f t="shared" si="28"/>
        <v>183.23870960481068</v>
      </c>
      <c r="D374" s="14">
        <f t="shared" si="30"/>
        <v>62</v>
      </c>
      <c r="E374" s="15">
        <f t="shared" si="31"/>
        <v>474.59376840150543</v>
      </c>
      <c r="F374" s="11">
        <f t="shared" si="29"/>
        <v>-291.3550587966947</v>
      </c>
      <c r="G374" s="12">
        <f t="shared" si="32"/>
        <v>84887.77028642544</v>
      </c>
      <c r="H374" s="13">
        <f t="shared" si="33"/>
        <v>0.17111195810048238</v>
      </c>
      <c r="I374" s="12">
        <f t="shared" si="34"/>
        <v>0</v>
      </c>
    </row>
    <row r="375" spans="2:9" ht="12.75" hidden="1">
      <c r="B375" s="1">
        <v>299</v>
      </c>
      <c r="C375" s="21">
        <f t="shared" si="28"/>
        <v>182.79036024109868</v>
      </c>
      <c r="D375" s="14">
        <f t="shared" si="30"/>
        <v>61</v>
      </c>
      <c r="E375" s="15">
        <f t="shared" si="31"/>
        <v>482.37918666286987</v>
      </c>
      <c r="F375" s="11">
        <f t="shared" si="29"/>
        <v>-299.58882642177116</v>
      </c>
      <c r="G375" s="12">
        <f t="shared" si="32"/>
        <v>89753.46491677413</v>
      </c>
      <c r="H375" s="13">
        <f t="shared" si="33"/>
        <v>0.17111195810048238</v>
      </c>
      <c r="I375" s="12">
        <f t="shared" si="34"/>
        <v>0</v>
      </c>
    </row>
    <row r="376" spans="2:9" ht="12.75" hidden="1">
      <c r="B376" s="1">
        <v>300</v>
      </c>
      <c r="C376" s="21">
        <f t="shared" si="28"/>
        <v>182.34508793981482</v>
      </c>
      <c r="D376" s="14">
        <f t="shared" si="30"/>
        <v>60</v>
      </c>
      <c r="E376" s="15">
        <f t="shared" si="31"/>
        <v>490.4240056463912</v>
      </c>
      <c r="F376" s="11">
        <f t="shared" si="29"/>
        <v>-308.07891770657636</v>
      </c>
      <c r="G376" s="12">
        <f t="shared" si="32"/>
        <v>94912.61953525545</v>
      </c>
      <c r="H376" s="13">
        <f t="shared" si="33"/>
        <v>0.17111195810048238</v>
      </c>
      <c r="I376" s="12">
        <f t="shared" si="34"/>
        <v>0</v>
      </c>
    </row>
    <row r="377" spans="2:9" ht="12.75" hidden="1">
      <c r="B377" s="1">
        <v>301</v>
      </c>
      <c r="C377" s="21">
        <f t="shared" si="28"/>
        <v>181.90286201171858</v>
      </c>
      <c r="D377" s="14">
        <f t="shared" si="30"/>
        <v>59</v>
      </c>
      <c r="E377" s="15">
        <f t="shared" si="31"/>
        <v>498.7414152137235</v>
      </c>
      <c r="F377" s="11">
        <f t="shared" si="29"/>
        <v>-316.8385532020049</v>
      </c>
      <c r="G377" s="12">
        <f t="shared" si="32"/>
        <v>100386.66879513969</v>
      </c>
      <c r="H377" s="13">
        <f t="shared" si="33"/>
        <v>0.17111195810048238</v>
      </c>
      <c r="I377" s="12">
        <f t="shared" si="34"/>
        <v>0</v>
      </c>
    </row>
    <row r="378" spans="2:9" ht="12.75" hidden="1">
      <c r="B378" s="1">
        <v>302</v>
      </c>
      <c r="C378" s="21">
        <f t="shared" si="28"/>
        <v>181.46365217398605</v>
      </c>
      <c r="D378" s="14">
        <f t="shared" si="30"/>
        <v>58</v>
      </c>
      <c r="E378" s="15">
        <f t="shared" si="31"/>
        <v>507.34551487227014</v>
      </c>
      <c r="F378" s="11">
        <f t="shared" si="29"/>
        <v>-325.88186269828407</v>
      </c>
      <c r="G378" s="12">
        <f t="shared" si="32"/>
        <v>106198.98843570327</v>
      </c>
      <c r="H378" s="13">
        <f t="shared" si="33"/>
        <v>0.17111195810048238</v>
      </c>
      <c r="I378" s="12">
        <f t="shared" si="34"/>
        <v>0</v>
      </c>
    </row>
    <row r="379" spans="2:9" ht="12.75" hidden="1">
      <c r="B379" s="1">
        <v>303</v>
      </c>
      <c r="C379" s="21">
        <f t="shared" si="28"/>
        <v>181.02742854350277</v>
      </c>
      <c r="D379" s="14">
        <f t="shared" si="30"/>
        <v>57</v>
      </c>
      <c r="E379" s="15">
        <f t="shared" si="31"/>
        <v>516.2513935686624</v>
      </c>
      <c r="F379" s="11">
        <f t="shared" si="29"/>
        <v>-335.2239650251596</v>
      </c>
      <c r="G379" s="12">
        <f t="shared" si="32"/>
        <v>112375.10672718943</v>
      </c>
      <c r="H379" s="13">
        <f t="shared" si="33"/>
        <v>0.17111195810048238</v>
      </c>
      <c r="I379" s="12">
        <f t="shared" si="34"/>
        <v>0</v>
      </c>
    </row>
    <row r="380" spans="2:9" ht="12.75" hidden="1">
      <c r="B380" s="1">
        <v>304</v>
      </c>
      <c r="C380" s="21">
        <f t="shared" si="28"/>
        <v>180.594161630291</v>
      </c>
      <c r="D380" s="14">
        <f t="shared" si="30"/>
        <v>56</v>
      </c>
      <c r="E380" s="15">
        <f t="shared" si="31"/>
        <v>525.4752180315534</v>
      </c>
      <c r="F380" s="11">
        <f t="shared" si="29"/>
        <v>-344.88105640126236</v>
      </c>
      <c r="G380" s="12">
        <f t="shared" si="32"/>
        <v>118942.94306445071</v>
      </c>
      <c r="H380" s="13">
        <f t="shared" si="33"/>
        <v>0.17111195810048238</v>
      </c>
      <c r="I380" s="12">
        <f t="shared" si="34"/>
        <v>0</v>
      </c>
    </row>
    <row r="381" spans="2:9" ht="12.75" hidden="1">
      <c r="B381" s="1">
        <v>305</v>
      </c>
      <c r="C381" s="21">
        <f t="shared" si="28"/>
        <v>180.16382233106373</v>
      </c>
      <c r="D381" s="14">
        <f t="shared" si="30"/>
        <v>55</v>
      </c>
      <c r="E381" s="15">
        <f t="shared" si="31"/>
        <v>535.0343307518008</v>
      </c>
      <c r="F381" s="11">
        <f t="shared" si="29"/>
        <v>-354.87050842073705</v>
      </c>
      <c r="G381" s="12">
        <f t="shared" si="32"/>
        <v>125933.0777467924</v>
      </c>
      <c r="H381" s="13">
        <f t="shared" si="33"/>
        <v>0.17111195810048238</v>
      </c>
      <c r="I381" s="12">
        <f t="shared" si="34"/>
        <v>0</v>
      </c>
    </row>
    <row r="382" spans="2:9" ht="12.75" hidden="1">
      <c r="B382" s="1">
        <v>306</v>
      </c>
      <c r="C382" s="21">
        <f t="shared" si="28"/>
        <v>179.73638192290665</v>
      </c>
      <c r="D382" s="14">
        <f t="shared" si="30"/>
        <v>54</v>
      </c>
      <c r="E382" s="15">
        <f t="shared" si="31"/>
        <v>544.9473588493328</v>
      </c>
      <c r="F382" s="11">
        <f t="shared" si="29"/>
        <v>-365.21097692642616</v>
      </c>
      <c r="G382" s="12">
        <f t="shared" si="32"/>
        <v>133379.0576675546</v>
      </c>
      <c r="H382" s="13">
        <f t="shared" si="33"/>
        <v>0.17111195810048238</v>
      </c>
      <c r="I382" s="12">
        <f t="shared" si="34"/>
        <v>0</v>
      </c>
    </row>
    <row r="383" spans="2:9" ht="12.75" hidden="1">
      <c r="B383" s="1">
        <v>307</v>
      </c>
      <c r="C383" s="21">
        <f t="shared" si="28"/>
        <v>179.3118120570833</v>
      </c>
      <c r="D383" s="14">
        <f t="shared" si="30"/>
        <v>53</v>
      </c>
      <c r="E383" s="15">
        <f t="shared" si="31"/>
        <v>555.2343352645768</v>
      </c>
      <c r="F383" s="11">
        <f t="shared" si="29"/>
        <v>-375.92252320749344</v>
      </c>
      <c r="G383" s="12">
        <f t="shared" si="32"/>
        <v>141317.74345468843</v>
      </c>
      <c r="H383" s="13">
        <f t="shared" si="33"/>
        <v>0.17111195810048238</v>
      </c>
      <c r="I383" s="12">
        <f t="shared" si="34"/>
        <v>0</v>
      </c>
    </row>
    <row r="384" spans="2:9" ht="12.75" hidden="1">
      <c r="B384" s="1">
        <v>308</v>
      </c>
      <c r="C384" s="21">
        <f t="shared" si="28"/>
        <v>178.89008475296077</v>
      </c>
      <c r="D384" s="14">
        <f t="shared" si="30"/>
        <v>52</v>
      </c>
      <c r="E384" s="15">
        <f t="shared" si="31"/>
        <v>565.916833933505</v>
      </c>
      <c r="F384" s="11">
        <f t="shared" si="29"/>
        <v>-387.02674918054424</v>
      </c>
      <c r="G384" s="12">
        <f t="shared" si="32"/>
        <v>149789.7045812599</v>
      </c>
      <c r="H384" s="13">
        <f t="shared" si="33"/>
        <v>0.17111195810048238</v>
      </c>
      <c r="I384" s="12">
        <f t="shared" si="34"/>
        <v>0</v>
      </c>
    </row>
    <row r="385" spans="2:9" ht="12.75" hidden="1">
      <c r="B385" s="1">
        <v>309</v>
      </c>
      <c r="C385" s="21">
        <f t="shared" si="28"/>
        <v>178.47117239205318</v>
      </c>
      <c r="D385" s="14">
        <f t="shared" si="30"/>
        <v>51</v>
      </c>
      <c r="E385" s="15">
        <f t="shared" si="31"/>
        <v>577.0181208656244</v>
      </c>
      <c r="F385" s="11">
        <f t="shared" si="29"/>
        <v>-398.5469484735712</v>
      </c>
      <c r="G385" s="12">
        <f t="shared" si="32"/>
        <v>158839.6701375954</v>
      </c>
      <c r="H385" s="13">
        <f t="shared" si="33"/>
        <v>0.17111195810048238</v>
      </c>
      <c r="I385" s="12">
        <f t="shared" si="34"/>
        <v>0</v>
      </c>
    </row>
    <row r="386" spans="2:9" ht="12.75" hidden="1">
      <c r="B386" s="1">
        <v>310</v>
      </c>
      <c r="C386" s="21">
        <f t="shared" si="28"/>
        <v>178.05504771218122</v>
      </c>
      <c r="D386" s="14">
        <f t="shared" si="30"/>
        <v>50</v>
      </c>
      <c r="E386" s="15">
        <f t="shared" si="31"/>
        <v>588.5633233513399</v>
      </c>
      <c r="F386" s="11">
        <f t="shared" si="29"/>
        <v>-410.5082756391587</v>
      </c>
      <c r="G386" s="12">
        <f t="shared" si="32"/>
        <v>168517.04436823548</v>
      </c>
      <c r="H386" s="13">
        <f t="shared" si="33"/>
        <v>0.17111195810048238</v>
      </c>
      <c r="I386" s="12">
        <f t="shared" si="34"/>
        <v>0</v>
      </c>
    </row>
    <row r="387" spans="2:9" ht="12.75" hidden="1">
      <c r="B387" s="1">
        <v>311</v>
      </c>
      <c r="C387" s="21">
        <f t="shared" si="28"/>
        <v>177.6416838017429</v>
      </c>
      <c r="D387" s="14">
        <f t="shared" si="30"/>
        <v>49</v>
      </c>
      <c r="E387" s="15">
        <f t="shared" si="31"/>
        <v>600.579619888565</v>
      </c>
      <c r="F387" s="11">
        <f t="shared" si="29"/>
        <v>-422.93793608682216</v>
      </c>
      <c r="G387" s="12">
        <f t="shared" si="32"/>
        <v>178876.49778138087</v>
      </c>
      <c r="H387" s="13">
        <f t="shared" si="33"/>
        <v>0.17111195810048238</v>
      </c>
      <c r="I387" s="12">
        <f t="shared" si="34"/>
        <v>0</v>
      </c>
    </row>
    <row r="388" spans="2:9" ht="12.75" hidden="1">
      <c r="B388" s="1">
        <v>312</v>
      </c>
      <c r="C388" s="21">
        <f t="shared" si="28"/>
        <v>177.2310540940962</v>
      </c>
      <c r="D388" s="14">
        <f t="shared" si="30"/>
        <v>48</v>
      </c>
      <c r="E388" s="15">
        <f t="shared" si="31"/>
        <v>613.0964538501804</v>
      </c>
      <c r="F388" s="11">
        <f t="shared" si="29"/>
        <v>-435.86539975608423</v>
      </c>
      <c r="G388" s="12">
        <f t="shared" si="32"/>
        <v>189978.6467045311</v>
      </c>
      <c r="H388" s="13">
        <f t="shared" si="33"/>
        <v>0.17111195810048238</v>
      </c>
      <c r="I388" s="12">
        <f t="shared" si="34"/>
        <v>0</v>
      </c>
    </row>
    <row r="389" spans="2:9" ht="12.75" hidden="1">
      <c r="B389" s="1">
        <v>313</v>
      </c>
      <c r="C389" s="21">
        <f t="shared" si="28"/>
        <v>176.82313236204826</v>
      </c>
      <c r="D389" s="14">
        <f t="shared" si="30"/>
        <v>47</v>
      </c>
      <c r="E389" s="15">
        <f t="shared" si="31"/>
        <v>626.1457744281767</v>
      </c>
      <c r="F389" s="11">
        <f t="shared" si="29"/>
        <v>-449.3226420661284</v>
      </c>
      <c r="G389" s="12">
        <f t="shared" si="32"/>
        <v>201890.83667328616</v>
      </c>
      <c r="H389" s="13">
        <f t="shared" si="33"/>
        <v>0.17111195810048238</v>
      </c>
      <c r="I389" s="12">
        <f t="shared" si="34"/>
        <v>0</v>
      </c>
    </row>
    <row r="390" spans="2:9" ht="12.75" hidden="1">
      <c r="B390" s="1">
        <v>314</v>
      </c>
      <c r="C390" s="21">
        <f t="shared" si="28"/>
        <v>176.41789271245023</v>
      </c>
      <c r="D390" s="14">
        <f t="shared" si="30"/>
        <v>46</v>
      </c>
      <c r="E390" s="15">
        <f t="shared" si="31"/>
        <v>639.7623090052908</v>
      </c>
      <c r="F390" s="11">
        <f t="shared" si="29"/>
        <v>-463.3444162928406</v>
      </c>
      <c r="G390" s="12">
        <f t="shared" si="32"/>
        <v>214688.04810975317</v>
      </c>
      <c r="H390" s="13">
        <f t="shared" si="33"/>
        <v>0.17111195810048238</v>
      </c>
      <c r="I390" s="12">
        <f t="shared" si="34"/>
        <v>0</v>
      </c>
    </row>
    <row r="391" spans="2:9" ht="12.75" hidden="1">
      <c r="B391" s="1">
        <v>315</v>
      </c>
      <c r="C391" s="21">
        <f t="shared" si="28"/>
        <v>176.0153095808948</v>
      </c>
      <c r="D391" s="14">
        <f t="shared" si="30"/>
        <v>45</v>
      </c>
      <c r="E391" s="15">
        <f t="shared" si="31"/>
        <v>653.983871842875</v>
      </c>
      <c r="F391" s="11">
        <f t="shared" si="29"/>
        <v>-477.9685622619802</v>
      </c>
      <c r="G391" s="12">
        <f t="shared" si="32"/>
        <v>228453.94651078444</v>
      </c>
      <c r="H391" s="13">
        <f t="shared" si="33"/>
        <v>0.17111195810048238</v>
      </c>
      <c r="I391" s="12">
        <f t="shared" si="34"/>
        <v>0</v>
      </c>
    </row>
    <row r="392" spans="2:9" ht="12.75" hidden="1">
      <c r="B392" s="1">
        <v>316</v>
      </c>
      <c r="C392" s="21">
        <f t="shared" si="28"/>
        <v>175.61535772651524</v>
      </c>
      <c r="D392" s="14">
        <f t="shared" si="30"/>
        <v>44</v>
      </c>
      <c r="E392" s="15">
        <f t="shared" si="31"/>
        <v>668.8517148625556</v>
      </c>
      <c r="F392" s="11">
        <f t="shared" si="29"/>
        <v>-493.23635713604034</v>
      </c>
      <c r="G392" s="12">
        <f t="shared" si="32"/>
        <v>243282.10400083155</v>
      </c>
      <c r="H392" s="13">
        <f t="shared" si="33"/>
        <v>0.17111195810048238</v>
      </c>
      <c r="I392" s="12">
        <f t="shared" si="34"/>
        <v>0</v>
      </c>
    </row>
    <row r="393" spans="2:9" ht="12.75" hidden="1">
      <c r="B393" s="1">
        <v>317</v>
      </c>
      <c r="C393" s="21">
        <f t="shared" si="28"/>
        <v>175.21801222688157</v>
      </c>
      <c r="D393" s="14">
        <f t="shared" si="30"/>
        <v>43</v>
      </c>
      <c r="E393" s="15">
        <f t="shared" si="31"/>
        <v>684.4109273741642</v>
      </c>
      <c r="F393" s="11">
        <f t="shared" si="29"/>
        <v>-509.19291514728263</v>
      </c>
      <c r="G393" s="12">
        <f t="shared" si="32"/>
        <v>259277.42483618777</v>
      </c>
      <c r="H393" s="13">
        <f t="shared" si="33"/>
        <v>0.17111195810048238</v>
      </c>
      <c r="I393" s="12">
        <f t="shared" si="34"/>
        <v>0</v>
      </c>
    </row>
    <row r="394" spans="2:9" ht="12.75" hidden="1">
      <c r="B394" s="1">
        <v>318</v>
      </c>
      <c r="C394" s="21">
        <f t="shared" si="28"/>
        <v>174.82324847299444</v>
      </c>
      <c r="D394" s="14">
        <f t="shared" si="30"/>
        <v>42</v>
      </c>
      <c r="E394" s="15">
        <f t="shared" si="31"/>
        <v>700.7108929076819</v>
      </c>
      <c r="F394" s="11">
        <f t="shared" si="29"/>
        <v>-525.8876444346874</v>
      </c>
      <c r="G394" s="12">
        <f t="shared" si="32"/>
        <v>276557.81456906424</v>
      </c>
      <c r="H394" s="13">
        <f t="shared" si="33"/>
        <v>0.17111195810048238</v>
      </c>
      <c r="I394" s="12">
        <f t="shared" si="34"/>
        <v>0</v>
      </c>
    </row>
    <row r="395" spans="2:9" ht="12.75" hidden="1">
      <c r="B395" s="1">
        <v>319</v>
      </c>
      <c r="C395" s="21">
        <f t="shared" si="28"/>
        <v>174.43104216437172</v>
      </c>
      <c r="D395" s="14">
        <f t="shared" si="30"/>
        <v>41</v>
      </c>
      <c r="E395" s="15">
        <f t="shared" si="31"/>
        <v>717.8058128986078</v>
      </c>
      <c r="F395" s="11">
        <f t="shared" si="29"/>
        <v>-543.3747707342361</v>
      </c>
      <c r="G395" s="12">
        <f t="shared" si="32"/>
        <v>295256.1414704837</v>
      </c>
      <c r="H395" s="13">
        <f t="shared" si="33"/>
        <v>0.17111195810048238</v>
      </c>
      <c r="I395" s="12">
        <f t="shared" si="34"/>
        <v>0</v>
      </c>
    </row>
    <row r="396" spans="2:9" ht="12.75" hidden="1">
      <c r="B396" s="1">
        <v>320</v>
      </c>
      <c r="C396" s="21">
        <f t="shared" si="28"/>
        <v>174.04136930422885</v>
      </c>
      <c r="D396" s="14">
        <f t="shared" si="30"/>
        <v>40</v>
      </c>
      <c r="E396" s="15">
        <f t="shared" si="31"/>
        <v>735.7553089261563</v>
      </c>
      <c r="F396" s="11">
        <f t="shared" si="29"/>
        <v>-561.7139396219275</v>
      </c>
      <c r="G396" s="12">
        <f t="shared" si="32"/>
        <v>315522.5499655864</v>
      </c>
      <c r="H396" s="13">
        <f t="shared" si="33"/>
        <v>0.17111195810048238</v>
      </c>
      <c r="I396" s="12">
        <f t="shared" si="34"/>
        <v>0</v>
      </c>
    </row>
    <row r="397" spans="2:9" ht="12.75" hidden="1">
      <c r="B397" s="1">
        <v>321</v>
      </c>
      <c r="C397" s="21">
        <f aca="true" t="shared" si="35" ref="C397:C438">($F$25/12)*POWER((($F$25/12)+1),B397)/(POWER((($F$25/12)+1),B397)-1)*$F$27</f>
        <v>173.6542061947477</v>
      </c>
      <c r="D397" s="14">
        <f t="shared" si="30"/>
        <v>39</v>
      </c>
      <c r="E397" s="15">
        <f t="shared" si="31"/>
        <v>754.6251176034858</v>
      </c>
      <c r="F397" s="11">
        <f aca="true" t="shared" si="36" ref="F397:F438">C397-E397</f>
        <v>-580.9709114087382</v>
      </c>
      <c r="G397" s="12">
        <f t="shared" si="32"/>
        <v>337527.1999030999</v>
      </c>
      <c r="H397" s="13">
        <f t="shared" si="33"/>
        <v>0.17111195810048238</v>
      </c>
      <c r="I397" s="12">
        <f t="shared" si="34"/>
        <v>0</v>
      </c>
    </row>
    <row r="398" spans="2:9" ht="12.75" hidden="1">
      <c r="B398" s="1">
        <v>322</v>
      </c>
      <c r="C398" s="21">
        <f t="shared" si="35"/>
        <v>173.26952943243452</v>
      </c>
      <c r="D398" s="14">
        <f aca="true" t="shared" si="37" ref="D398:D438">IF($F$50-B398=0,1,$F$50-B398)</f>
        <v>38</v>
      </c>
      <c r="E398" s="15">
        <f aca="true" t="shared" si="38" ref="E398:E438">(2%/12)*POWER(((2%/12)+1),D398)/(POWER(((2%/12)+1),D398)-1)*(($E$11+$E$12)+((POWER((1+1/100),(($C$28*12+B398)/12))-1)*($E$11+$E$12)))</f>
        <v>774.4878951874061</v>
      </c>
      <c r="F398" s="11">
        <f t="shared" si="36"/>
        <v>-601.2183657549716</v>
      </c>
      <c r="G398" s="12">
        <f aca="true" t="shared" si="39" ref="G398:G438">F398*F398</f>
        <v>361463.5233210788</v>
      </c>
      <c r="H398" s="13">
        <f aca="true" t="shared" si="40" ref="H398:H438">MIN($G$77:$G$434)</f>
        <v>0.17111195810048238</v>
      </c>
      <c r="I398" s="12">
        <f aca="true" t="shared" si="41" ref="I398:I438">IF(G398=H398,B398,0)</f>
        <v>0</v>
      </c>
    </row>
    <row r="399" spans="2:9" ht="12.75" hidden="1">
      <c r="B399" s="1">
        <v>323</v>
      </c>
      <c r="C399" s="21">
        <f t="shared" si="35"/>
        <v>172.88731590356412</v>
      </c>
      <c r="D399" s="14">
        <f t="shared" si="37"/>
        <v>37</v>
      </c>
      <c r="E399" s="15">
        <f t="shared" si="38"/>
        <v>795.4241526653732</v>
      </c>
      <c r="F399" s="11">
        <f t="shared" si="36"/>
        <v>-622.5368367618091</v>
      </c>
      <c r="G399" s="12">
        <f t="shared" si="39"/>
        <v>387552.1131253994</v>
      </c>
      <c r="H399" s="13">
        <f t="shared" si="40"/>
        <v>0.17111195810048238</v>
      </c>
      <c r="I399" s="12">
        <f t="shared" si="41"/>
        <v>0</v>
      </c>
    </row>
    <row r="400" spans="2:9" ht="12.75" hidden="1">
      <c r="B400" s="1">
        <v>324</v>
      </c>
      <c r="C400" s="21">
        <f t="shared" si="35"/>
        <v>172.5075427797078</v>
      </c>
      <c r="D400" s="14">
        <f t="shared" si="37"/>
        <v>36</v>
      </c>
      <c r="E400" s="15">
        <f t="shared" si="38"/>
        <v>817.5233466903085</v>
      </c>
      <c r="F400" s="11">
        <f t="shared" si="36"/>
        <v>-645.0158039106007</v>
      </c>
      <c r="G400" s="12">
        <f t="shared" si="39"/>
        <v>416045.38729443843</v>
      </c>
      <c r="H400" s="13">
        <f t="shared" si="40"/>
        <v>0.17111195810048238</v>
      </c>
      <c r="I400" s="12">
        <f t="shared" si="41"/>
        <v>0</v>
      </c>
    </row>
    <row r="401" spans="2:9" ht="12.75" hidden="1">
      <c r="B401" s="1">
        <v>325</v>
      </c>
      <c r="C401" s="21">
        <f t="shared" si="35"/>
        <v>172.1301875133444</v>
      </c>
      <c r="D401" s="14">
        <f t="shared" si="37"/>
        <v>35</v>
      </c>
      <c r="E401" s="15">
        <f t="shared" si="38"/>
        <v>840.8851575327869</v>
      </c>
      <c r="F401" s="11">
        <f t="shared" si="36"/>
        <v>-668.7549700194426</v>
      </c>
      <c r="G401" s="12">
        <f t="shared" si="39"/>
        <v>447233.2099257055</v>
      </c>
      <c r="H401" s="13">
        <f t="shared" si="40"/>
        <v>0.17111195810048238</v>
      </c>
      <c r="I401" s="12">
        <f t="shared" si="41"/>
        <v>0</v>
      </c>
    </row>
    <row r="402" spans="2:9" ht="12.75" hidden="1">
      <c r="B402" s="1">
        <v>326</v>
      </c>
      <c r="C402" s="21">
        <f t="shared" si="35"/>
        <v>171.75522783355223</v>
      </c>
      <c r="D402" s="14">
        <f t="shared" si="37"/>
        <v>34</v>
      </c>
      <c r="E402" s="15">
        <f t="shared" si="38"/>
        <v>865.6209925542432</v>
      </c>
      <c r="F402" s="11">
        <f t="shared" si="36"/>
        <v>-693.865764720691</v>
      </c>
      <c r="G402" s="12">
        <f t="shared" si="39"/>
        <v>481449.6994514293</v>
      </c>
      <c r="H402" s="13">
        <f t="shared" si="40"/>
        <v>0.17111195810048238</v>
      </c>
      <c r="I402" s="12">
        <f t="shared" si="41"/>
        <v>0</v>
      </c>
    </row>
    <row r="403" spans="2:9" ht="12.75" hidden="1">
      <c r="B403" s="1">
        <v>327</v>
      </c>
      <c r="C403" s="21">
        <f t="shared" si="35"/>
        <v>171.38264174177917</v>
      </c>
      <c r="D403" s="14">
        <f t="shared" si="37"/>
        <v>33</v>
      </c>
      <c r="E403" s="15">
        <f t="shared" si="38"/>
        <v>891.8557630389008</v>
      </c>
      <c r="F403" s="11">
        <f t="shared" si="36"/>
        <v>-720.4731212971217</v>
      </c>
      <c r="G403" s="12">
        <f t="shared" si="39"/>
        <v>519081.51851161703</v>
      </c>
      <c r="H403" s="13">
        <f t="shared" si="40"/>
        <v>0.17111195810048238</v>
      </c>
      <c r="I403" s="12">
        <f t="shared" si="41"/>
        <v>0</v>
      </c>
    </row>
    <row r="404" spans="2:9" ht="12.75" hidden="1">
      <c r="B404" s="1">
        <v>328</v>
      </c>
      <c r="C404" s="21">
        <f t="shared" si="35"/>
        <v>171.01240750769128</v>
      </c>
      <c r="D404" s="14">
        <f t="shared" si="37"/>
        <v>32</v>
      </c>
      <c r="E404" s="15">
        <f t="shared" si="38"/>
        <v>919.7299941817269</v>
      </c>
      <c r="F404" s="11">
        <f t="shared" si="36"/>
        <v>-748.7175866740356</v>
      </c>
      <c r="G404" s="12">
        <f t="shared" si="39"/>
        <v>560578.024594992</v>
      </c>
      <c r="H404" s="13">
        <f t="shared" si="40"/>
        <v>0.17111195810048238</v>
      </c>
      <c r="I404" s="12">
        <f t="shared" si="41"/>
        <v>0</v>
      </c>
    </row>
    <row r="405" spans="2:9" ht="12.75" hidden="1">
      <c r="B405" s="1">
        <v>329</v>
      </c>
      <c r="C405" s="21">
        <f t="shared" si="35"/>
        <v>170.64450366509652</v>
      </c>
      <c r="D405" s="14">
        <f t="shared" si="37"/>
        <v>31</v>
      </c>
      <c r="E405" s="15">
        <f t="shared" si="38"/>
        <v>949.402343461117</v>
      </c>
      <c r="F405" s="11">
        <f t="shared" si="36"/>
        <v>-778.7578397960204</v>
      </c>
      <c r="G405" s="12">
        <f t="shared" si="39"/>
        <v>606463.7730437643</v>
      </c>
      <c r="H405" s="13">
        <f t="shared" si="40"/>
        <v>0.17111195810048238</v>
      </c>
      <c r="I405" s="12">
        <f t="shared" si="41"/>
        <v>0</v>
      </c>
    </row>
    <row r="406" spans="2:9" ht="12.75" hidden="1">
      <c r="B406" s="1">
        <v>330</v>
      </c>
      <c r="C406" s="21">
        <f t="shared" si="35"/>
        <v>170.27890900794236</v>
      </c>
      <c r="D406" s="14">
        <f t="shared" si="37"/>
        <v>30</v>
      </c>
      <c r="E406" s="15">
        <f t="shared" si="38"/>
        <v>981.052622686139</v>
      </c>
      <c r="F406" s="11">
        <f t="shared" si="36"/>
        <v>-810.7737136781966</v>
      </c>
      <c r="G406" s="12">
        <f t="shared" si="39"/>
        <v>657354.0147915343</v>
      </c>
      <c r="H406" s="13">
        <f t="shared" si="40"/>
        <v>0.17111195810048238</v>
      </c>
      <c r="I406" s="12">
        <f t="shared" si="41"/>
        <v>0</v>
      </c>
    </row>
    <row r="407" spans="2:9" ht="12.75" hidden="1">
      <c r="B407" s="1">
        <v>331</v>
      </c>
      <c r="C407" s="21">
        <f t="shared" si="35"/>
        <v>169.91560258638648</v>
      </c>
      <c r="D407" s="14">
        <f t="shared" si="37"/>
        <v>29</v>
      </c>
      <c r="E407" s="15">
        <f t="shared" si="38"/>
        <v>1014.8854452949226</v>
      </c>
      <c r="F407" s="11">
        <f t="shared" si="36"/>
        <v>-844.9698427085361</v>
      </c>
      <c r="G407" s="12">
        <f t="shared" si="39"/>
        <v>713974.0350868882</v>
      </c>
      <c r="H407" s="13">
        <f t="shared" si="40"/>
        <v>0.17111195810048238</v>
      </c>
      <c r="I407" s="12">
        <f t="shared" si="41"/>
        <v>0</v>
      </c>
    </row>
    <row r="408" spans="2:9" ht="12.75" hidden="1">
      <c r="B408" s="1">
        <v>332</v>
      </c>
      <c r="C408" s="21">
        <f t="shared" si="35"/>
        <v>169.5545637029382</v>
      </c>
      <c r="D408" s="14">
        <f t="shared" si="37"/>
        <v>28</v>
      </c>
      <c r="E408" s="15">
        <f t="shared" si="38"/>
        <v>1051.1346552170069</v>
      </c>
      <c r="F408" s="11">
        <f t="shared" si="36"/>
        <v>-881.5800915140687</v>
      </c>
      <c r="G408" s="12">
        <f t="shared" si="39"/>
        <v>777183.4577539538</v>
      </c>
      <c r="H408" s="13">
        <f t="shared" si="40"/>
        <v>0.17111195810048238</v>
      </c>
      <c r="I408" s="12">
        <f t="shared" si="41"/>
        <v>0</v>
      </c>
    </row>
    <row r="409" spans="2:9" ht="12.75" hidden="1">
      <c r="B409" s="1">
        <v>333</v>
      </c>
      <c r="C409" s="21">
        <f t="shared" si="35"/>
        <v>169.19577190866946</v>
      </c>
      <c r="D409" s="14">
        <f t="shared" si="37"/>
        <v>27</v>
      </c>
      <c r="E409" s="15">
        <f t="shared" si="38"/>
        <v>1090.0687399272783</v>
      </c>
      <c r="F409" s="11">
        <f t="shared" si="36"/>
        <v>-920.8729680186088</v>
      </c>
      <c r="G409" s="12">
        <f t="shared" si="39"/>
        <v>848007.0232274018</v>
      </c>
      <c r="H409" s="13">
        <f t="shared" si="40"/>
        <v>0.17111195810048238</v>
      </c>
      <c r="I409" s="12">
        <f t="shared" si="41"/>
        <v>0</v>
      </c>
    </row>
    <row r="410" spans="2:9" ht="12.75" hidden="1">
      <c r="B410" s="1">
        <v>334</v>
      </c>
      <c r="C410" s="21">
        <f t="shared" si="35"/>
        <v>168.83920699949394</v>
      </c>
      <c r="D410" s="14">
        <f t="shared" si="37"/>
        <v>26</v>
      </c>
      <c r="E410" s="15">
        <f t="shared" si="38"/>
        <v>1131.9974926662524</v>
      </c>
      <c r="F410" s="11">
        <f t="shared" si="36"/>
        <v>-963.1582856667584</v>
      </c>
      <c r="G410" s="12">
        <f t="shared" si="39"/>
        <v>927673.8832485289</v>
      </c>
      <c r="H410" s="13">
        <f t="shared" si="40"/>
        <v>0.17111195810048238</v>
      </c>
      <c r="I410" s="12">
        <f t="shared" si="41"/>
        <v>0</v>
      </c>
    </row>
    <row r="411" spans="2:9" ht="12.75" hidden="1">
      <c r="B411" s="1">
        <v>335</v>
      </c>
      <c r="C411" s="21">
        <f t="shared" si="35"/>
        <v>168.4848490125124</v>
      </c>
      <c r="D411" s="14">
        <f t="shared" si="37"/>
        <v>25</v>
      </c>
      <c r="E411" s="15">
        <f t="shared" si="38"/>
        <v>1177.280273593187</v>
      </c>
      <c r="F411" s="11">
        <f t="shared" si="36"/>
        <v>-1008.7954245806746</v>
      </c>
      <c r="G411" s="12">
        <f t="shared" si="39"/>
        <v>1017668.2086549037</v>
      </c>
      <c r="H411" s="13">
        <f t="shared" si="40"/>
        <v>0.17111195810048238</v>
      </c>
      <c r="I411" s="12">
        <f t="shared" si="41"/>
        <v>0</v>
      </c>
    </row>
    <row r="412" spans="2:9" ht="12.75" hidden="1">
      <c r="B412" s="1">
        <v>336</v>
      </c>
      <c r="C412" s="21">
        <f t="shared" si="35"/>
        <v>168.13267822242446</v>
      </c>
      <c r="D412" s="14">
        <f t="shared" si="37"/>
        <v>24</v>
      </c>
      <c r="E412" s="15">
        <f t="shared" si="38"/>
        <v>1226.3363362274847</v>
      </c>
      <c r="F412" s="11">
        <f t="shared" si="36"/>
        <v>-1058.2036580050603</v>
      </c>
      <c r="G412" s="12">
        <f t="shared" si="39"/>
        <v>1119794.9818152906</v>
      </c>
      <c r="H412" s="13">
        <f t="shared" si="40"/>
        <v>0.17111195810048238</v>
      </c>
      <c r="I412" s="12">
        <f t="shared" si="41"/>
        <v>0</v>
      </c>
    </row>
    <row r="413" spans="2:9" ht="12.75" hidden="1">
      <c r="B413" s="1">
        <v>337</v>
      </c>
      <c r="C413" s="21">
        <f t="shared" si="35"/>
        <v>167.7826751380024</v>
      </c>
      <c r="D413" s="14">
        <f t="shared" si="37"/>
        <v>23</v>
      </c>
      <c r="E413" s="15">
        <f t="shared" si="38"/>
        <v>1279.6578477444148</v>
      </c>
      <c r="F413" s="11">
        <f t="shared" si="36"/>
        <v>-1111.8751726064124</v>
      </c>
      <c r="G413" s="12">
        <f t="shared" si="39"/>
        <v>1236266.3994585394</v>
      </c>
      <c r="H413" s="13">
        <f t="shared" si="40"/>
        <v>0.17111195810048238</v>
      </c>
      <c r="I413" s="12">
        <f t="shared" si="41"/>
        <v>0</v>
      </c>
    </row>
    <row r="414" spans="2:9" ht="12.75" hidden="1">
      <c r="B414" s="1">
        <v>338</v>
      </c>
      <c r="C414" s="21">
        <f t="shared" si="35"/>
        <v>167.43482049862942</v>
      </c>
      <c r="D414" s="14">
        <f t="shared" si="37"/>
        <v>22</v>
      </c>
      <c r="E414" s="15">
        <f t="shared" si="38"/>
        <v>1337.8264602604613</v>
      </c>
      <c r="F414" s="11">
        <f t="shared" si="36"/>
        <v>-1170.3916397618318</v>
      </c>
      <c r="G414" s="12">
        <f t="shared" si="39"/>
        <v>1369816.5904243896</v>
      </c>
      <c r="H414" s="13">
        <f t="shared" si="40"/>
        <v>0.17111195810048238</v>
      </c>
      <c r="I414" s="12">
        <f t="shared" si="41"/>
        <v>0</v>
      </c>
    </row>
    <row r="415" spans="2:9" ht="12.75" hidden="1">
      <c r="B415" s="1">
        <v>339</v>
      </c>
      <c r="C415" s="21">
        <f t="shared" si="35"/>
        <v>167.08909527089799</v>
      </c>
      <c r="D415" s="14">
        <f t="shared" si="37"/>
        <v>21</v>
      </c>
      <c r="E415" s="15">
        <f t="shared" si="38"/>
        <v>1401.5346167717714</v>
      </c>
      <c r="F415" s="11">
        <f t="shared" si="36"/>
        <v>-1234.4455215008734</v>
      </c>
      <c r="G415" s="12">
        <f t="shared" si="39"/>
        <v>1523855.7455535633</v>
      </c>
      <c r="H415" s="13">
        <f t="shared" si="40"/>
        <v>0.17111195810048238</v>
      </c>
      <c r="I415" s="12">
        <f t="shared" si="41"/>
        <v>0</v>
      </c>
    </row>
    <row r="416" spans="2:9" ht="12.75" hidden="1">
      <c r="B416" s="1">
        <v>340</v>
      </c>
      <c r="C416" s="21">
        <f t="shared" si="35"/>
        <v>166.74548064526869</v>
      </c>
      <c r="D416" s="14">
        <f t="shared" si="37"/>
        <v>20</v>
      </c>
      <c r="E416" s="15">
        <f t="shared" si="38"/>
        <v>1471.6132488740695</v>
      </c>
      <c r="F416" s="11">
        <f t="shared" si="36"/>
        <v>-1304.8677682288007</v>
      </c>
      <c r="G416" s="12">
        <f t="shared" si="39"/>
        <v>1702679.8925624113</v>
      </c>
      <c r="H416" s="13">
        <f t="shared" si="40"/>
        <v>0.17111195810048238</v>
      </c>
      <c r="I416" s="12">
        <f t="shared" si="41"/>
        <v>0</v>
      </c>
    </row>
    <row r="417" spans="2:9" ht="12.75" hidden="1">
      <c r="B417" s="1">
        <v>341</v>
      </c>
      <c r="C417" s="21">
        <f t="shared" si="35"/>
        <v>166.40395803278767</v>
      </c>
      <c r="D417" s="14">
        <f t="shared" si="37"/>
        <v>19</v>
      </c>
      <c r="E417" s="15">
        <f t="shared" si="38"/>
        <v>1549.0682211309108</v>
      </c>
      <c r="F417" s="11">
        <f t="shared" si="36"/>
        <v>-1382.6642630981232</v>
      </c>
      <c r="G417" s="12">
        <f t="shared" si="39"/>
        <v>1911760.4644486762</v>
      </c>
      <c r="H417" s="13">
        <f t="shared" si="40"/>
        <v>0.17111195810048238</v>
      </c>
      <c r="I417" s="12">
        <f t="shared" si="41"/>
        <v>0</v>
      </c>
    </row>
    <row r="418" spans="2:9" ht="12.75" hidden="1">
      <c r="B418" s="1">
        <v>342</v>
      </c>
      <c r="C418" s="21">
        <f t="shared" si="35"/>
        <v>166.06450906186197</v>
      </c>
      <c r="D418" s="14">
        <f t="shared" si="37"/>
        <v>18</v>
      </c>
      <c r="E418" s="15">
        <f t="shared" si="38"/>
        <v>1635.128923564831</v>
      </c>
      <c r="F418" s="11">
        <f t="shared" si="36"/>
        <v>-1469.064414502969</v>
      </c>
      <c r="G418" s="12">
        <f t="shared" si="39"/>
        <v>2158150.2539589508</v>
      </c>
      <c r="H418" s="13">
        <f t="shared" si="40"/>
        <v>0.17111195810048238</v>
      </c>
      <c r="I418" s="12">
        <f t="shared" si="41"/>
        <v>0</v>
      </c>
    </row>
    <row r="419" spans="2:9" ht="12.75" hidden="1">
      <c r="B419" s="1">
        <v>343</v>
      </c>
      <c r="C419" s="21">
        <f t="shared" si="35"/>
        <v>165.72711557509064</v>
      </c>
      <c r="D419" s="14">
        <f t="shared" si="37"/>
        <v>17</v>
      </c>
      <c r="E419" s="15">
        <f t="shared" si="38"/>
        <v>1731.3140144393028</v>
      </c>
      <c r="F419" s="11">
        <f t="shared" si="36"/>
        <v>-1565.5868988642121</v>
      </c>
      <c r="G419" s="12">
        <f t="shared" si="39"/>
        <v>2451062.3378952607</v>
      </c>
      <c r="H419" s="13">
        <f t="shared" si="40"/>
        <v>0.17111195810048238</v>
      </c>
      <c r="I419" s="12">
        <f t="shared" si="41"/>
        <v>0</v>
      </c>
    </row>
    <row r="420" spans="2:9" ht="12.75" hidden="1">
      <c r="B420" s="1">
        <v>344</v>
      </c>
      <c r="C420" s="21">
        <f t="shared" si="35"/>
        <v>165.39175962615198</v>
      </c>
      <c r="D420" s="14">
        <f t="shared" si="37"/>
        <v>16</v>
      </c>
      <c r="E420" s="15">
        <f t="shared" si="38"/>
        <v>1839.5218165841072</v>
      </c>
      <c r="F420" s="11">
        <f t="shared" si="36"/>
        <v>-1674.1300569579553</v>
      </c>
      <c r="G420" s="12">
        <f t="shared" si="39"/>
        <v>2802711.4476100467</v>
      </c>
      <c r="H420" s="13">
        <f t="shared" si="40"/>
        <v>0.17111195810048238</v>
      </c>
      <c r="I420" s="12">
        <f t="shared" si="41"/>
        <v>0</v>
      </c>
    </row>
    <row r="421" spans="2:9" ht="12.75" hidden="1">
      <c r="B421" s="1">
        <v>345</v>
      </c>
      <c r="C421" s="21">
        <f t="shared" si="35"/>
        <v>165.0584234767443</v>
      </c>
      <c r="D421" s="14">
        <f t="shared" si="37"/>
        <v>15</v>
      </c>
      <c r="E421" s="15">
        <f t="shared" si="38"/>
        <v>1962.156872250758</v>
      </c>
      <c r="F421" s="11">
        <f t="shared" si="36"/>
        <v>-1797.0984487740136</v>
      </c>
      <c r="G421" s="12">
        <f t="shared" si="39"/>
        <v>3229562.834585966</v>
      </c>
      <c r="H421" s="13">
        <f t="shared" si="40"/>
        <v>0.17111195810048238</v>
      </c>
      <c r="I421" s="12">
        <f t="shared" si="41"/>
        <v>0</v>
      </c>
    </row>
    <row r="422" spans="2:9" ht="12.75" hidden="1">
      <c r="B422" s="1">
        <v>346</v>
      </c>
      <c r="C422" s="21">
        <f t="shared" si="35"/>
        <v>164.72708959357985</v>
      </c>
      <c r="D422" s="14">
        <f t="shared" si="37"/>
        <v>14</v>
      </c>
      <c r="E422" s="15">
        <f t="shared" si="38"/>
        <v>2102.3107357630447</v>
      </c>
      <c r="F422" s="11">
        <f t="shared" si="36"/>
        <v>-1937.5836461694648</v>
      </c>
      <c r="G422" s="12">
        <f t="shared" si="39"/>
        <v>3754230.385903358</v>
      </c>
      <c r="H422" s="13">
        <f t="shared" si="40"/>
        <v>0.17111195810048238</v>
      </c>
      <c r="I422" s="12">
        <f t="shared" si="41"/>
        <v>0</v>
      </c>
    </row>
    <row r="423" spans="2:9" ht="12.75" hidden="1">
      <c r="B423" s="1">
        <v>347</v>
      </c>
      <c r="C423" s="21">
        <f t="shared" si="35"/>
        <v>164.39774064543084</v>
      </c>
      <c r="D423" s="14">
        <f t="shared" si="37"/>
        <v>13</v>
      </c>
      <c r="E423" s="15">
        <f t="shared" si="38"/>
        <v>2264.026208929574</v>
      </c>
      <c r="F423" s="11">
        <f t="shared" si="36"/>
        <v>-2099.628468284143</v>
      </c>
      <c r="G423" s="12">
        <f t="shared" si="39"/>
        <v>4408439.704829216</v>
      </c>
      <c r="H423" s="13">
        <f t="shared" si="40"/>
        <v>0.17111195810048238</v>
      </c>
      <c r="I423" s="12">
        <f t="shared" si="41"/>
        <v>0</v>
      </c>
    </row>
    <row r="424" spans="2:9" ht="12.75" hidden="1">
      <c r="B424" s="1">
        <v>348</v>
      </c>
      <c r="C424" s="21">
        <f t="shared" si="35"/>
        <v>164.07035950022623</v>
      </c>
      <c r="D424" s="14">
        <f t="shared" si="37"/>
        <v>12</v>
      </c>
      <c r="E424" s="15">
        <f t="shared" si="38"/>
        <v>2452.6936941623135</v>
      </c>
      <c r="F424" s="11">
        <f t="shared" si="36"/>
        <v>-2288.6233346620875</v>
      </c>
      <c r="G424" s="12">
        <f t="shared" si="39"/>
        <v>5237796.767959814</v>
      </c>
      <c r="H424" s="13">
        <f t="shared" si="40"/>
        <v>0.17111195810048238</v>
      </c>
      <c r="I424" s="12">
        <f t="shared" si="41"/>
        <v>0</v>
      </c>
    </row>
    <row r="425" spans="2:9" ht="12.75" hidden="1">
      <c r="B425" s="1">
        <v>349</v>
      </c>
      <c r="C425" s="21">
        <f t="shared" si="35"/>
        <v>163.7449292221989</v>
      </c>
      <c r="D425" s="14">
        <f t="shared" si="37"/>
        <v>11</v>
      </c>
      <c r="E425" s="15">
        <f t="shared" si="38"/>
        <v>2675.6637402054916</v>
      </c>
      <c r="F425" s="11">
        <f t="shared" si="36"/>
        <v>-2511.9188109832926</v>
      </c>
      <c r="G425" s="12">
        <f t="shared" si="39"/>
        <v>6309736.112971718</v>
      </c>
      <c r="H425" s="13">
        <f t="shared" si="40"/>
        <v>0.17111195810048238</v>
      </c>
      <c r="I425" s="12">
        <f t="shared" si="41"/>
        <v>0</v>
      </c>
    </row>
    <row r="426" spans="2:9" ht="12.75" hidden="1">
      <c r="B426" s="1">
        <v>350</v>
      </c>
      <c r="C426" s="21">
        <f t="shared" si="35"/>
        <v>163.4214330690809</v>
      </c>
      <c r="D426" s="14">
        <f t="shared" si="37"/>
        <v>10</v>
      </c>
      <c r="E426" s="15">
        <f t="shared" si="38"/>
        <v>2943.2271153016754</v>
      </c>
      <c r="F426" s="11">
        <f t="shared" si="36"/>
        <v>-2779.8056822325943</v>
      </c>
      <c r="G426" s="12">
        <f t="shared" si="39"/>
        <v>7727319.630972619</v>
      </c>
      <c r="H426" s="13">
        <f t="shared" si="40"/>
        <v>0.17111195810048238</v>
      </c>
      <c r="I426" s="12">
        <f t="shared" si="41"/>
        <v>0</v>
      </c>
    </row>
    <row r="427" spans="2:9" ht="12.75" hidden="1">
      <c r="B427" s="1">
        <v>351</v>
      </c>
      <c r="C427" s="21">
        <f t="shared" si="35"/>
        <v>163.09985448934717</v>
      </c>
      <c r="D427" s="14">
        <f t="shared" si="37"/>
        <v>9</v>
      </c>
      <c r="E427" s="15">
        <f t="shared" si="38"/>
        <v>3270.2482624686672</v>
      </c>
      <c r="F427" s="11">
        <f t="shared" si="36"/>
        <v>-3107.14840797932</v>
      </c>
      <c r="G427" s="12">
        <f t="shared" si="39"/>
        <v>9654371.229208423</v>
      </c>
      <c r="H427" s="13">
        <f t="shared" si="40"/>
        <v>0.17111195810048238</v>
      </c>
      <c r="I427" s="12">
        <f t="shared" si="41"/>
        <v>0</v>
      </c>
    </row>
    <row r="428" spans="2:9" ht="12.75" hidden="1">
      <c r="B428" s="1">
        <v>352</v>
      </c>
      <c r="C428" s="21">
        <f t="shared" si="35"/>
        <v>162.7801771195067</v>
      </c>
      <c r="D428" s="14">
        <f t="shared" si="37"/>
        <v>8</v>
      </c>
      <c r="E428" s="15">
        <f t="shared" si="38"/>
        <v>3679.0238462338993</v>
      </c>
      <c r="F428" s="11">
        <f t="shared" si="36"/>
        <v>-3516.2436691143926</v>
      </c>
      <c r="G428" s="12">
        <f t="shared" si="39"/>
        <v>12363969.540587045</v>
      </c>
      <c r="H428" s="13">
        <f t="shared" si="40"/>
        <v>0.17111195810048238</v>
      </c>
      <c r="I428" s="12">
        <f t="shared" si="41"/>
        <v>0</v>
      </c>
    </row>
    <row r="429" spans="2:9" ht="12.75" hidden="1">
      <c r="B429" s="1">
        <v>353</v>
      </c>
      <c r="C429" s="21">
        <f t="shared" si="35"/>
        <v>162.4623847814385</v>
      </c>
      <c r="D429" s="14">
        <f t="shared" si="37"/>
        <v>7</v>
      </c>
      <c r="E429" s="15">
        <f t="shared" si="38"/>
        <v>4204.5914822845025</v>
      </c>
      <c r="F429" s="11">
        <f t="shared" si="36"/>
        <v>-4042.129097503064</v>
      </c>
      <c r="G429" s="12">
        <f t="shared" si="39"/>
        <v>16338807.640880933</v>
      </c>
      <c r="H429" s="13">
        <f t="shared" si="40"/>
        <v>0.17111195810048238</v>
      </c>
      <c r="I429" s="12">
        <f t="shared" si="41"/>
        <v>0</v>
      </c>
    </row>
    <row r="430" spans="2:9" ht="12.75" hidden="1">
      <c r="B430" s="1">
        <v>354</v>
      </c>
      <c r="C430" s="21">
        <f t="shared" si="35"/>
        <v>162.146461479774</v>
      </c>
      <c r="D430" s="14">
        <f t="shared" si="37"/>
        <v>6</v>
      </c>
      <c r="E430" s="15">
        <f t="shared" si="38"/>
        <v>4905.347196766468</v>
      </c>
      <c r="F430" s="11">
        <f t="shared" si="36"/>
        <v>-4743.200735286694</v>
      </c>
      <c r="G430" s="12">
        <f t="shared" si="39"/>
        <v>22497953.215224236</v>
      </c>
      <c r="H430" s="13">
        <f t="shared" si="40"/>
        <v>0.17111195810048238</v>
      </c>
      <c r="I430" s="12">
        <f t="shared" si="41"/>
        <v>0</v>
      </c>
    </row>
    <row r="431" spans="2:9" ht="12.75" hidden="1">
      <c r="B431" s="1">
        <v>355</v>
      </c>
      <c r="C431" s="21">
        <f t="shared" si="35"/>
        <v>161.83239139932255</v>
      </c>
      <c r="D431" s="14">
        <f t="shared" si="37"/>
        <v>5</v>
      </c>
      <c r="E431" s="15">
        <f t="shared" si="38"/>
        <v>5886.403836744147</v>
      </c>
      <c r="F431" s="11">
        <f t="shared" si="36"/>
        <v>-5724.5714453448245</v>
      </c>
      <c r="G431" s="12">
        <f t="shared" si="39"/>
        <v>32770718.23285733</v>
      </c>
      <c r="H431" s="13">
        <f t="shared" si="40"/>
        <v>0.17111195810048238</v>
      </c>
      <c r="I431" s="12">
        <f t="shared" si="41"/>
        <v>0</v>
      </c>
    </row>
    <row r="432" spans="2:9" ht="12.75" hidden="1">
      <c r="B432" s="1">
        <v>356</v>
      </c>
      <c r="C432" s="21">
        <f t="shared" si="35"/>
        <v>161.52015890254162</v>
      </c>
      <c r="D432" s="14">
        <f t="shared" si="37"/>
        <v>4</v>
      </c>
      <c r="E432" s="15">
        <f t="shared" si="38"/>
        <v>7357.987096347777</v>
      </c>
      <c r="F432" s="11">
        <f t="shared" si="36"/>
        <v>-7196.466937445235</v>
      </c>
      <c r="G432" s="12">
        <f t="shared" si="39"/>
        <v>51789136.3817424</v>
      </c>
      <c r="H432" s="13">
        <f t="shared" si="40"/>
        <v>0.17111195810048238</v>
      </c>
      <c r="I432" s="12">
        <f t="shared" si="41"/>
        <v>0</v>
      </c>
    </row>
    <row r="433" spans="2:9" ht="12.75" hidden="1">
      <c r="B433" s="1">
        <v>357</v>
      </c>
      <c r="C433" s="21">
        <f t="shared" si="35"/>
        <v>161.20974852704822</v>
      </c>
      <c r="D433" s="14">
        <f t="shared" si="37"/>
        <v>3</v>
      </c>
      <c r="E433" s="15">
        <f t="shared" si="38"/>
        <v>9810.623595217146</v>
      </c>
      <c r="F433" s="11">
        <f t="shared" si="36"/>
        <v>-9649.413846690099</v>
      </c>
      <c r="G433" s="12">
        <f t="shared" si="39"/>
        <v>93111187.58469461</v>
      </c>
      <c r="H433" s="13">
        <f t="shared" si="40"/>
        <v>0.17111195810048238</v>
      </c>
      <c r="I433" s="12">
        <f t="shared" si="41"/>
        <v>0</v>
      </c>
    </row>
    <row r="434" spans="2:9" ht="12.75" hidden="1">
      <c r="B434" s="1">
        <v>358</v>
      </c>
      <c r="C434" s="21">
        <f t="shared" si="35"/>
        <v>160.9011449831728</v>
      </c>
      <c r="D434" s="14">
        <f t="shared" si="37"/>
        <v>2</v>
      </c>
      <c r="E434" s="15">
        <f t="shared" si="38"/>
        <v>14715.89319227381</v>
      </c>
      <c r="F434" s="11">
        <f t="shared" si="36"/>
        <v>-14554.992047290638</v>
      </c>
      <c r="G434" s="12">
        <f t="shared" si="39"/>
        <v>211847793.4966937</v>
      </c>
      <c r="H434" s="13">
        <f t="shared" si="40"/>
        <v>0.17111195810048238</v>
      </c>
      <c r="I434" s="12">
        <f t="shared" si="41"/>
        <v>0</v>
      </c>
    </row>
    <row r="435" spans="2:9" ht="12.75" hidden="1">
      <c r="B435" s="1">
        <v>359</v>
      </c>
      <c r="C435" s="21">
        <f t="shared" si="35"/>
        <v>160.59433315155357</v>
      </c>
      <c r="D435" s="14">
        <f t="shared" si="37"/>
        <v>1</v>
      </c>
      <c r="E435" s="15">
        <f t="shared" si="38"/>
        <v>29431.695182134437</v>
      </c>
      <c r="F435" s="11">
        <f t="shared" si="36"/>
        <v>-29271.100848982886</v>
      </c>
      <c r="G435" s="12">
        <f t="shared" si="39"/>
        <v>856797344.9113266</v>
      </c>
      <c r="H435" s="13">
        <f t="shared" si="40"/>
        <v>0.17111195810048238</v>
      </c>
      <c r="I435" s="12">
        <f t="shared" si="41"/>
        <v>0</v>
      </c>
    </row>
    <row r="436" spans="2:9" ht="12.75" hidden="1">
      <c r="B436" s="1">
        <v>360</v>
      </c>
      <c r="C436" s="21">
        <f t="shared" si="35"/>
        <v>160.28929808077177</v>
      </c>
      <c r="D436" s="14">
        <f t="shared" si="37"/>
        <v>1</v>
      </c>
      <c r="E436" s="15">
        <f t="shared" si="38"/>
        <v>29456.10989505785</v>
      </c>
      <c r="F436" s="11">
        <f t="shared" si="36"/>
        <v>-29295.82059697708</v>
      </c>
      <c r="G436" s="12">
        <f t="shared" si="39"/>
        <v>858245104.4502665</v>
      </c>
      <c r="H436" s="13">
        <f t="shared" si="40"/>
        <v>0.17111195810048238</v>
      </c>
      <c r="I436" s="12">
        <f t="shared" si="41"/>
        <v>0</v>
      </c>
    </row>
    <row r="437" spans="2:9" ht="12.75" hidden="1">
      <c r="B437" s="1">
        <v>361</v>
      </c>
      <c r="C437" s="21">
        <f t="shared" si="35"/>
        <v>159.986024985025</v>
      </c>
      <c r="D437" s="14">
        <f t="shared" si="37"/>
        <v>-1</v>
      </c>
      <c r="E437" s="15">
        <f t="shared" si="38"/>
        <v>-29431.49237362749</v>
      </c>
      <c r="F437" s="11">
        <f t="shared" si="36"/>
        <v>29591.478398612515</v>
      </c>
      <c r="G437" s="12">
        <f t="shared" si="39"/>
        <v>875655593.815551</v>
      </c>
      <c r="H437" s="13">
        <f t="shared" si="40"/>
        <v>0.17111195810048238</v>
      </c>
      <c r="I437" s="12">
        <f t="shared" si="41"/>
        <v>0</v>
      </c>
    </row>
    <row r="438" spans="2:9" ht="12.75" hidden="1">
      <c r="B438" s="1">
        <v>362</v>
      </c>
      <c r="C438" s="21">
        <f t="shared" si="35"/>
        <v>159.6844992418402</v>
      </c>
      <c r="D438" s="14">
        <f t="shared" si="37"/>
        <v>-2</v>
      </c>
      <c r="E438" s="15">
        <f t="shared" si="38"/>
        <v>-14715.690383836225</v>
      </c>
      <c r="F438" s="11">
        <f t="shared" si="36"/>
        <v>14875.374883078066</v>
      </c>
      <c r="G438" s="12">
        <f t="shared" si="39"/>
        <v>221276777.9121098</v>
      </c>
      <c r="H438" s="13">
        <f t="shared" si="40"/>
        <v>0.17111195810048238</v>
      </c>
      <c r="I438" s="12">
        <f t="shared" si="41"/>
        <v>0</v>
      </c>
    </row>
    <row r="439" ht="12.75" hidden="1"/>
  </sheetData>
  <sheetProtection selectLockedCells="1"/>
  <mergeCells count="45">
    <mergeCell ref="B74:F74"/>
    <mergeCell ref="D21:E21"/>
    <mergeCell ref="D25:E25"/>
    <mergeCell ref="B7:G7"/>
    <mergeCell ref="B8:C8"/>
    <mergeCell ref="F8:G8"/>
    <mergeCell ref="B10:C10"/>
    <mergeCell ref="B13:C13"/>
    <mergeCell ref="D22:E22"/>
    <mergeCell ref="B9:C9"/>
    <mergeCell ref="F9:G9"/>
    <mergeCell ref="B11:C11"/>
    <mergeCell ref="F11:G12"/>
    <mergeCell ref="B12:C12"/>
    <mergeCell ref="D39:E39"/>
    <mergeCell ref="D23:E23"/>
    <mergeCell ref="D24:E24"/>
    <mergeCell ref="B14:G14"/>
    <mergeCell ref="B16:G16"/>
    <mergeCell ref="D32:E32"/>
    <mergeCell ref="B33:G33"/>
    <mergeCell ref="D34:E34"/>
    <mergeCell ref="D37:E37"/>
    <mergeCell ref="D26:E26"/>
    <mergeCell ref="D28:E28"/>
    <mergeCell ref="D31:E31"/>
    <mergeCell ref="D50:E50"/>
    <mergeCell ref="D61:E61"/>
    <mergeCell ref="D54:E54"/>
    <mergeCell ref="B53:D53"/>
    <mergeCell ref="D58:E58"/>
    <mergeCell ref="D40:E40"/>
    <mergeCell ref="D41:E41"/>
    <mergeCell ref="D49:E49"/>
    <mergeCell ref="B52:G52"/>
    <mergeCell ref="K7:L7"/>
    <mergeCell ref="H7:I7"/>
    <mergeCell ref="D46:E47"/>
    <mergeCell ref="F46:G47"/>
    <mergeCell ref="C72:E72"/>
    <mergeCell ref="C73:E73"/>
    <mergeCell ref="C67:D67"/>
    <mergeCell ref="D62:E62"/>
    <mergeCell ref="D63:E63"/>
    <mergeCell ref="G58:J61"/>
  </mergeCells>
  <dataValidations count="2">
    <dataValidation type="list" allowBlank="1" showInputMessage="1" showErrorMessage="1" sqref="C18">
      <formula1>$B$69:$B$70</formula1>
    </dataValidation>
    <dataValidation type="list" allowBlank="1" showInputMessage="1" showErrorMessage="1" sqref="C19:C20">
      <formula1>$F$69:$F$70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colBreaks count="1" manualBreakCount="1">
    <brk id="9" max="4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Korisnik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Lukin Emina</cp:lastModifiedBy>
  <cp:lastPrinted>2019-07-18T07:13:19Z</cp:lastPrinted>
  <dcterms:created xsi:type="dcterms:W3CDTF">2005-11-14T08:41:49Z</dcterms:created>
  <dcterms:modified xsi:type="dcterms:W3CDTF">2021-02-15T13:47:36Z</dcterms:modified>
  <cp:category/>
  <cp:version/>
  <cp:contentType/>
  <cp:contentStatus/>
</cp:coreProperties>
</file>