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0490" windowHeight="7545" activeTab="0"/>
  </bookViews>
  <sheets>
    <sheet name="stan" sheetId="1" r:id="rId1"/>
  </sheets>
  <definedNames>
    <definedName name="_xlnm.Print_Area" localSheetId="0">'stan'!$A$1:$G$444</definedName>
  </definedNames>
  <calcPr fullCalcOnLoad="1" refMode="R1C1"/>
</workbook>
</file>

<file path=xl/sharedStrings.xml><?xml version="1.0" encoding="utf-8"?>
<sst xmlns="http://schemas.openxmlformats.org/spreadsheetml/2006/main" count="83" uniqueCount="65">
  <si>
    <t>FINANCIRANJE:</t>
  </si>
  <si>
    <t xml:space="preserve"> →  1 obrok - učešće</t>
  </si>
  <si>
    <t>IZRAČUN OTPLATE KREDITA POSLOVNOJ BANCI:</t>
  </si>
  <si>
    <t>Kredit poslovne banke:</t>
  </si>
  <si>
    <t>Gotovinski udio:</t>
  </si>
  <si>
    <t>Iznos za ukamaćivanje:</t>
  </si>
  <si>
    <t>Kamata za vrijeme otplate:</t>
  </si>
  <si>
    <t>Glavnica:</t>
  </si>
  <si>
    <t>Poček:</t>
  </si>
  <si>
    <t>Broj mjeseci otplate:</t>
  </si>
  <si>
    <t>Ukupno:</t>
  </si>
  <si>
    <t>Ukupno glavnica + kamata:</t>
  </si>
  <si>
    <t>Glavnica za obračun:</t>
  </si>
  <si>
    <t>Kamata za vrijeme počeka:</t>
  </si>
  <si>
    <t>Broj mjeseci počeka:</t>
  </si>
  <si>
    <t>Cijena stana:</t>
  </si>
  <si>
    <t>Iznos svih kamata koje plaća kupac:</t>
  </si>
  <si>
    <t>Ukupna cijena stana po otplati svih kredita:</t>
  </si>
  <si>
    <t>Broj godina trajanja otplate:</t>
  </si>
  <si>
    <t>Broj mjeseci trajanja otplate:</t>
  </si>
  <si>
    <t>Poček u godinama:</t>
  </si>
  <si>
    <t>Broj godina otplate:</t>
  </si>
  <si>
    <t>Ukupno glavnica+kamata:</t>
  </si>
  <si>
    <t>Cijena:</t>
  </si>
  <si>
    <t>UČEŠĆE:</t>
  </si>
  <si>
    <t>Cijena 1m² stana:</t>
  </si>
  <si>
    <t>poček</t>
  </si>
  <si>
    <t>kamata</t>
  </si>
  <si>
    <t>€</t>
  </si>
  <si>
    <t>CHF</t>
  </si>
  <si>
    <t>odabrana banka:</t>
  </si>
  <si>
    <t>valuta:</t>
  </si>
  <si>
    <t>Iznos interkalarne kamate (vezano za €):</t>
  </si>
  <si>
    <t>Iznos interkalarne kamate (vezano za CHF):</t>
  </si>
  <si>
    <t>Interkalarna kamata (vezano za €):</t>
  </si>
  <si>
    <t>Interkalarna kamata (vezano za CHF):</t>
  </si>
  <si>
    <t>Kamata za vrijeme otplate (vezano za €):</t>
  </si>
  <si>
    <t>Kamata za vrijeme otplate (vezano za CHF):</t>
  </si>
  <si>
    <t>PROSJEČNA KAMATA:</t>
  </si>
  <si>
    <t>IZRAČUN STVARNE PROSJEČNE KAMATE :</t>
  </si>
  <si>
    <t>BANKA</t>
  </si>
  <si>
    <t>Kredit Banke i APN-a:</t>
  </si>
  <si>
    <t>Iznos kamate na poček:</t>
  </si>
  <si>
    <t>Ukupno povećanje:</t>
  </si>
  <si>
    <t>Kamata na poček:</t>
  </si>
  <si>
    <t>Površina stana :</t>
  </si>
  <si>
    <t xml:space="preserve"> →  2 obrok - banka</t>
  </si>
  <si>
    <t xml:space="preserve"> →  3 obrok - APN</t>
  </si>
  <si>
    <t>IZRAČUN OTPLATE KREDITA APN-a:</t>
  </si>
  <si>
    <t>Prosječna kamata za vrijeme otplate (banka i APN):</t>
  </si>
  <si>
    <t>IZRAČUN OTPLATE KREDITA BANCI I APN-u:</t>
  </si>
  <si>
    <t>Ukupan izos kredita (banka + APN):</t>
  </si>
  <si>
    <t>Mjesečni anuitet (glavnica):</t>
  </si>
  <si>
    <t>Kta:</t>
  </si>
  <si>
    <t>Upiši iznos učešća:</t>
  </si>
  <si>
    <t>Ukupno povećanje glavnice kredita:</t>
  </si>
  <si>
    <t>Prosječna rata u iznosu od 0,25% vrijednosti stana</t>
  </si>
  <si>
    <t>Prosječna rata ne smije biti manja od 0,25% vrijednosti stana:</t>
  </si>
  <si>
    <t>Iznos učešća:</t>
  </si>
  <si>
    <t>Postotak učešća:</t>
  </si>
  <si>
    <r>
      <rPr>
        <b/>
        <sz val="10"/>
        <color indexed="8"/>
        <rFont val="Arial"/>
        <family val="2"/>
      </rPr>
      <t>A MODEL</t>
    </r>
    <r>
      <rPr>
        <sz val="10"/>
        <color indexed="8"/>
        <rFont val="Arial"/>
        <family val="2"/>
      </rPr>
      <t xml:space="preserve"> (iznos učešća u €)</t>
    </r>
  </si>
  <si>
    <r>
      <rPr>
        <b/>
        <sz val="10"/>
        <color indexed="8"/>
        <rFont val="Arial"/>
        <family val="2"/>
      </rPr>
      <t>B MODE</t>
    </r>
    <r>
      <rPr>
        <sz val="10"/>
        <color indexed="8"/>
        <rFont val="Arial"/>
        <family val="2"/>
      </rPr>
      <t>L (bez banke)</t>
    </r>
  </si>
  <si>
    <t>Ukupno (glavnica + kamate):</t>
  </si>
  <si>
    <t>PROJEKCIJA OTPLATE STANA - POS</t>
  </si>
  <si>
    <t>Ova kalkulacija je isključivo informativnog karaktera te služi u svrhu pojašnjenja modela kreditiranja. Agencija za pravni promet i posredovanje nekretninama pridržava pravo mijenjati kalkulaciju te prilagoditi istu konkretnim situacijama.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</si>
</sst>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0\ &quot;m2&quot;"/>
    <numFmt numFmtId="173" formatCode="#,##0.00\ &quot;kn&quot;"/>
    <numFmt numFmtId="174" formatCode="#,##0.00\ [$€-1]"/>
    <numFmt numFmtId="176" formatCode="#,##0.000000"/>
    <numFmt numFmtId="177" formatCode="#,##0.00\ [$DM-407]"/>
    <numFmt numFmtId="178" formatCode="_-* #,##0.00\ [$€-407]_-;\-* #,##0.00\ [$€-407]_-;_-* &quot;-&quot;??\ [$€-407]_-;_-@_-"/>
    <numFmt numFmtId="179" formatCode="0\ &quot;godina&quot;"/>
    <numFmt numFmtId="180" formatCode="#,##0;[Red]#,##0"/>
    <numFmt numFmtId="181" formatCode="&quot;Mjesečna rata na &quot;\ 0\ &quot;mjeseci:&quot;"/>
    <numFmt numFmtId="182" formatCode="0\ &quot;%&quot;"/>
    <numFmt numFmtId="183" formatCode="&quot;PROSJEČNA RATA NA&quot;\ 0\ &quot;MJESECI :&quot;"/>
    <numFmt numFmtId="184" formatCode="[$€-2]\ #,##0.00"/>
    <numFmt numFmtId="187" formatCode="#,##0.00\ [$€-1];[Red]#,##0.00\ [$€-1]"/>
    <numFmt numFmtId="188" formatCode="#,##0.00;[Red]#,##0.00"/>
    <numFmt numFmtId="189" formatCode="0.00;[Red]0.00"/>
    <numFmt numFmtId="192" formatCode="&quot;Mjesečna rata na &quot;0&quot; mjeseci:&quot;"/>
    <numFmt numFmtId="195" formatCode="#.00\ &quot;%&quot;"/>
    <numFmt numFmtId="219" formatCode="&quot;Država:  &quot;\ #.00\ &quot;€/m²&quot;"/>
    <numFmt numFmtId="220" formatCode="[Red]&quot;BROJ ČLANOVA OBITELJI: &quot;\ 0"/>
    <numFmt numFmtId="224" formatCode="&quot;Jedinica lokalne samouprave (SVEUKUPNO):  &quot;\ #.00\ &quot;€/m²&quot;"/>
    <numFmt numFmtId="225" formatCode="&quot;Jedinica lokalne samouprave (3 OBROK):  &quot;\ #.00\ &quot;€/m²&quot;"/>
    <numFmt numFmtId="229" formatCode="0.000000%"/>
  </numFmts>
  <fonts count="78">
    <font>
      <sz val="10"/>
      <name val="Arial"/>
      <family val="0"/>
    </font>
    <font>
      <sz val="10"/>
      <name val="Times New Roman"/>
      <family val="1"/>
    </font>
    <font>
      <b/>
      <sz val="8"/>
      <color indexed="18"/>
      <name val="Times New Roman"/>
      <family val="1"/>
    </font>
    <font>
      <b/>
      <sz val="8"/>
      <color indexed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9"/>
      <color indexed="8"/>
      <name val="Arial"/>
      <family val="2"/>
    </font>
    <font>
      <i/>
      <sz val="16"/>
      <color indexed="10"/>
      <name val="Arial"/>
      <family val="2"/>
    </font>
    <font>
      <b/>
      <sz val="16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b/>
      <sz val="15"/>
      <color indexed="10"/>
      <name val="Arial"/>
      <family val="2"/>
    </font>
    <font>
      <sz val="15"/>
      <color indexed="8"/>
      <name val="Arial"/>
      <family val="2"/>
    </font>
    <font>
      <b/>
      <sz val="8"/>
      <color indexed="8"/>
      <name val="Arial"/>
      <family val="2"/>
    </font>
    <font>
      <b/>
      <i/>
      <sz val="9"/>
      <color indexed="8"/>
      <name val="Arial"/>
      <family val="2"/>
    </font>
    <font>
      <b/>
      <sz val="16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1"/>
      <color indexed="10"/>
      <name val="Arial"/>
      <family val="2"/>
    </font>
    <font>
      <i/>
      <sz val="8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sz val="16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60029125213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>
        <color indexed="26"/>
      </bottom>
    </border>
    <border>
      <left style="thin">
        <color indexed="26"/>
      </left>
      <right>
        <color indexed="63"/>
      </right>
      <top>
        <color indexed="63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 style="thin">
        <color indexed="8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8"/>
      </top>
      <bottom style="thin">
        <color indexed="26"/>
      </bottom>
    </border>
    <border>
      <left style="thin"/>
      <right style="thin"/>
      <top style="thin"/>
      <bottom style="thin"/>
    </border>
    <border>
      <left style="thin">
        <color indexed="26"/>
      </left>
      <right style="thin">
        <color indexed="26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26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8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8"/>
      </bottom>
    </border>
    <border>
      <left style="thin"/>
      <right>
        <color indexed="63"/>
      </right>
      <top style="thin">
        <color indexed="26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 style="thin">
        <color indexed="8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8"/>
      </top>
      <bottom style="thin">
        <color indexed="26"/>
      </bottom>
    </border>
    <border>
      <left style="thin">
        <color indexed="8"/>
      </left>
      <right>
        <color indexed="63"/>
      </right>
      <top style="thin">
        <color indexed="26"/>
      </top>
      <bottom style="thin">
        <color indexed="26"/>
      </bottom>
    </border>
    <border>
      <left style="thin">
        <color indexed="8"/>
      </left>
      <right style="thin">
        <color indexed="26"/>
      </right>
      <top style="dotted">
        <color indexed="8"/>
      </top>
      <bottom style="dotted">
        <color indexed="8"/>
      </bottom>
    </border>
    <border>
      <left style="thin">
        <color indexed="26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6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2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8" fillId="33" borderId="10" xfId="0" applyFont="1" applyFill="1" applyBorder="1" applyAlignment="1">
      <alignment vertical="center"/>
    </xf>
    <xf numFmtId="177" fontId="8" fillId="33" borderId="10" xfId="0" applyNumberFormat="1" applyFont="1" applyFill="1" applyBorder="1" applyAlignment="1">
      <alignment vertical="center"/>
    </xf>
    <xf numFmtId="173" fontId="8" fillId="33" borderId="10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188" fontId="8" fillId="33" borderId="10" xfId="0" applyNumberFormat="1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178" fontId="7" fillId="34" borderId="10" xfId="59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189" fontId="1" fillId="34" borderId="10" xfId="0" applyNumberFormat="1" applyFont="1" applyFill="1" applyBorder="1" applyAlignment="1">
      <alignment/>
    </xf>
    <xf numFmtId="180" fontId="3" fillId="34" borderId="10" xfId="0" applyNumberFormat="1" applyFont="1" applyFill="1" applyBorder="1" applyAlignment="1">
      <alignment horizontal="center" vertical="center" wrapText="1"/>
    </xf>
    <xf numFmtId="187" fontId="2" fillId="34" borderId="10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vertical="center"/>
    </xf>
    <xf numFmtId="0" fontId="12" fillId="33" borderId="14" xfId="0" applyFont="1" applyFill="1" applyBorder="1" applyAlignment="1">
      <alignment horizontal="right" vertical="center" wrapText="1"/>
    </xf>
    <xf numFmtId="0" fontId="12" fillId="33" borderId="15" xfId="0" applyFont="1" applyFill="1" applyBorder="1" applyAlignment="1">
      <alignment horizontal="right" vertical="center" wrapText="1"/>
    </xf>
    <xf numFmtId="0" fontId="12" fillId="33" borderId="13" xfId="0" applyFont="1" applyFill="1" applyBorder="1" applyAlignment="1">
      <alignment horizontal="right" vertical="center" wrapText="1"/>
    </xf>
    <xf numFmtId="0" fontId="13" fillId="33" borderId="16" xfId="0" applyFont="1" applyFill="1" applyBorder="1" applyAlignment="1">
      <alignment horizontal="center" vertical="center" wrapText="1"/>
    </xf>
    <xf numFmtId="174" fontId="2" fillId="34" borderId="10" xfId="0" applyNumberFormat="1" applyFont="1" applyFill="1" applyBorder="1" applyAlignment="1">
      <alignment horizontal="center" vertical="center" wrapText="1"/>
    </xf>
    <xf numFmtId="0" fontId="13" fillId="33" borderId="17" xfId="0" applyFont="1" applyFill="1" applyBorder="1" applyAlignment="1" applyProtection="1">
      <alignment horizontal="center" vertical="center" wrapText="1"/>
      <protection locked="0"/>
    </xf>
    <xf numFmtId="195" fontId="11" fillId="33" borderId="14" xfId="59" applyNumberFormat="1" applyFont="1" applyFill="1" applyBorder="1" applyAlignment="1" applyProtection="1">
      <alignment horizontal="center" vertical="center" wrapText="1"/>
      <protection/>
    </xf>
    <xf numFmtId="10" fontId="11" fillId="33" borderId="11" xfId="59" applyNumberFormat="1" applyFont="1" applyFill="1" applyBorder="1" applyAlignment="1" applyProtection="1">
      <alignment horizontal="center" vertical="center" wrapText="1"/>
      <protection/>
    </xf>
    <xf numFmtId="195" fontId="11" fillId="33" borderId="12" xfId="59" applyNumberFormat="1" applyFont="1" applyFill="1" applyBorder="1" applyAlignment="1" applyProtection="1">
      <alignment horizontal="center" vertical="center" wrapText="1"/>
      <protection/>
    </xf>
    <xf numFmtId="10" fontId="11" fillId="33" borderId="10" xfId="59" applyNumberFormat="1" applyFont="1" applyFill="1" applyBorder="1" applyAlignment="1" applyProtection="1">
      <alignment horizontal="center" vertical="center" wrapText="1"/>
      <protection/>
    </xf>
    <xf numFmtId="177" fontId="8" fillId="33" borderId="18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2" fontId="14" fillId="33" borderId="12" xfId="0" applyNumberFormat="1" applyFont="1" applyFill="1" applyBorder="1" applyAlignment="1">
      <alignment vertical="center"/>
    </xf>
    <xf numFmtId="0" fontId="14" fillId="33" borderId="18" xfId="0" applyFont="1" applyFill="1" applyBorder="1" applyAlignment="1">
      <alignment vertical="center"/>
    </xf>
    <xf numFmtId="0" fontId="14" fillId="33" borderId="10" xfId="0" applyFont="1" applyFill="1" applyBorder="1" applyAlignment="1">
      <alignment horizontal="right" vertical="center" wrapText="1"/>
    </xf>
    <xf numFmtId="0" fontId="14" fillId="33" borderId="10" xfId="0" applyFont="1" applyFill="1" applyBorder="1" applyAlignment="1">
      <alignment vertical="center"/>
    </xf>
    <xf numFmtId="2" fontId="14" fillId="33" borderId="19" xfId="0" applyNumberFormat="1" applyFont="1" applyFill="1" applyBorder="1" applyAlignment="1">
      <alignment vertical="center"/>
    </xf>
    <xf numFmtId="2" fontId="14" fillId="33" borderId="0" xfId="0" applyNumberFormat="1" applyFont="1" applyFill="1" applyBorder="1" applyAlignment="1">
      <alignment vertical="center"/>
    </xf>
    <xf numFmtId="220" fontId="15" fillId="33" borderId="10" xfId="0" applyNumberFormat="1" applyFont="1" applyFill="1" applyBorder="1" applyAlignment="1" applyProtection="1">
      <alignment horizontal="left" wrapText="1"/>
      <protection locked="0"/>
    </xf>
    <xf numFmtId="0" fontId="16" fillId="33" borderId="10" xfId="0" applyFont="1" applyFill="1" applyBorder="1" applyAlignment="1">
      <alignment horizontal="right" vertical="center" wrapText="1"/>
    </xf>
    <xf numFmtId="0" fontId="10" fillId="33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right" vertical="center" wrapText="1"/>
    </xf>
    <xf numFmtId="0" fontId="19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right" vertical="center" wrapText="1"/>
    </xf>
    <xf numFmtId="0" fontId="20" fillId="33" borderId="12" xfId="0" applyFont="1" applyFill="1" applyBorder="1" applyAlignment="1">
      <alignment horizontal="right" vertical="center" wrapText="1"/>
    </xf>
    <xf numFmtId="0" fontId="10" fillId="33" borderId="20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21" fillId="33" borderId="21" xfId="0" applyFont="1" applyFill="1" applyBorder="1" applyAlignment="1">
      <alignment horizontal="left" wrapText="1"/>
    </xf>
    <xf numFmtId="10" fontId="22" fillId="35" borderId="22" xfId="59" applyNumberFormat="1" applyFont="1" applyFill="1" applyBorder="1" applyAlignment="1" applyProtection="1">
      <alignment horizontal="right" vertical="center" wrapText="1"/>
      <protection locked="0"/>
    </xf>
    <xf numFmtId="174" fontId="14" fillId="35" borderId="22" xfId="0" applyNumberFormat="1" applyFont="1" applyFill="1" applyBorder="1" applyAlignment="1">
      <alignment horizontal="right" vertical="center" wrapText="1"/>
    </xf>
    <xf numFmtId="14" fontId="10" fillId="33" borderId="10" xfId="0" applyNumberFormat="1" applyFont="1" applyFill="1" applyBorder="1" applyAlignment="1" applyProtection="1">
      <alignment vertical="center"/>
      <protection locked="0"/>
    </xf>
    <xf numFmtId="10" fontId="16" fillId="36" borderId="17" xfId="59" applyNumberFormat="1" applyFont="1" applyFill="1" applyBorder="1" applyAlignment="1">
      <alignment horizontal="right" vertical="center" wrapText="1"/>
    </xf>
    <xf numFmtId="174" fontId="10" fillId="36" borderId="17" xfId="0" applyNumberFormat="1" applyFont="1" applyFill="1" applyBorder="1" applyAlignment="1">
      <alignment horizontal="right" vertical="center" wrapText="1"/>
    </xf>
    <xf numFmtId="14" fontId="10" fillId="33" borderId="10" xfId="0" applyNumberFormat="1" applyFont="1" applyFill="1" applyBorder="1" applyAlignment="1" applyProtection="1">
      <alignment horizontal="right" vertical="center" wrapText="1"/>
      <protection locked="0"/>
    </xf>
    <xf numFmtId="10" fontId="16" fillId="37" borderId="17" xfId="59" applyNumberFormat="1" applyFont="1" applyFill="1" applyBorder="1" applyAlignment="1">
      <alignment horizontal="right" vertical="center" wrapText="1"/>
    </xf>
    <xf numFmtId="174" fontId="10" fillId="37" borderId="17" xfId="0" applyNumberFormat="1" applyFont="1" applyFill="1" applyBorder="1" applyAlignment="1">
      <alignment horizontal="right" vertical="center" wrapText="1"/>
    </xf>
    <xf numFmtId="10" fontId="16" fillId="33" borderId="11" xfId="59" applyNumberFormat="1" applyFont="1" applyFill="1" applyBorder="1" applyAlignment="1">
      <alignment horizontal="right" vertical="center" wrapText="1"/>
    </xf>
    <xf numFmtId="174" fontId="10" fillId="33" borderId="11" xfId="0" applyNumberFormat="1" applyFont="1" applyFill="1" applyBorder="1" applyAlignment="1">
      <alignment horizontal="right" vertical="center" wrapText="1"/>
    </xf>
    <xf numFmtId="176" fontId="10" fillId="33" borderId="10" xfId="0" applyNumberFormat="1" applyFont="1" applyFill="1" applyBorder="1" applyAlignment="1">
      <alignment horizontal="right" vertical="center" wrapText="1"/>
    </xf>
    <xf numFmtId="189" fontId="16" fillId="33" borderId="12" xfId="0" applyNumberFormat="1" applyFont="1" applyFill="1" applyBorder="1" applyAlignment="1">
      <alignment horizontal="right" vertical="center" wrapText="1"/>
    </xf>
    <xf numFmtId="174" fontId="14" fillId="35" borderId="17" xfId="0" applyNumberFormat="1" applyFont="1" applyFill="1" applyBorder="1" applyAlignment="1">
      <alignment horizontal="right" vertical="center" wrapText="1"/>
    </xf>
    <xf numFmtId="0" fontId="10" fillId="33" borderId="18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left" wrapText="1"/>
    </xf>
    <xf numFmtId="0" fontId="21" fillId="33" borderId="0" xfId="0" applyFont="1" applyFill="1" applyBorder="1" applyAlignment="1">
      <alignment horizontal="left" wrapText="1"/>
    </xf>
    <xf numFmtId="0" fontId="21" fillId="33" borderId="23" xfId="0" applyFont="1" applyFill="1" applyBorder="1" applyAlignment="1">
      <alignment horizontal="left" wrapText="1"/>
    </xf>
    <xf numFmtId="0" fontId="25" fillId="33" borderId="17" xfId="0" applyFont="1" applyFill="1" applyBorder="1" applyAlignment="1" applyProtection="1">
      <alignment horizontal="center" vertical="center" wrapText="1"/>
      <protection locked="0"/>
    </xf>
    <xf numFmtId="0" fontId="21" fillId="33" borderId="0" xfId="0" applyFont="1" applyFill="1" applyBorder="1" applyAlignment="1">
      <alignment wrapText="1"/>
    </xf>
    <xf numFmtId="0" fontId="21" fillId="33" borderId="23" xfId="0" applyFont="1" applyFill="1" applyBorder="1" applyAlignment="1">
      <alignment wrapText="1"/>
    </xf>
    <xf numFmtId="0" fontId="21" fillId="33" borderId="13" xfId="0" applyFont="1" applyFill="1" applyBorder="1" applyAlignment="1">
      <alignment wrapText="1"/>
    </xf>
    <xf numFmtId="0" fontId="16" fillId="33" borderId="24" xfId="0" applyFont="1" applyFill="1" applyBorder="1" applyAlignment="1">
      <alignment horizontal="right" vertical="center" wrapText="1"/>
    </xf>
    <xf numFmtId="178" fontId="14" fillId="36" borderId="17" xfId="0" applyNumberFormat="1" applyFont="1" applyFill="1" applyBorder="1" applyAlignment="1">
      <alignment horizontal="right" vertical="center" wrapText="1"/>
    </xf>
    <xf numFmtId="178" fontId="26" fillId="33" borderId="25" xfId="0" applyNumberFormat="1" applyFont="1" applyFill="1" applyBorder="1" applyAlignment="1">
      <alignment horizontal="right" vertical="center" wrapText="1"/>
    </xf>
    <xf numFmtId="177" fontId="10" fillId="33" borderId="25" xfId="0" applyNumberFormat="1" applyFont="1" applyFill="1" applyBorder="1" applyAlignment="1">
      <alignment horizontal="right" vertical="center" wrapText="1"/>
    </xf>
    <xf numFmtId="2" fontId="10" fillId="33" borderId="10" xfId="0" applyNumberFormat="1" applyFont="1" applyFill="1" applyBorder="1" applyAlignment="1">
      <alignment vertical="center"/>
    </xf>
    <xf numFmtId="177" fontId="10" fillId="33" borderId="11" xfId="0" applyNumberFormat="1" applyFont="1" applyFill="1" applyBorder="1" applyAlignment="1">
      <alignment horizontal="right" vertical="center" wrapText="1"/>
    </xf>
    <xf numFmtId="0" fontId="16" fillId="33" borderId="12" xfId="0" applyFont="1" applyFill="1" applyBorder="1" applyAlignment="1">
      <alignment horizontal="right" vertical="center" wrapText="1"/>
    </xf>
    <xf numFmtId="178" fontId="10" fillId="33" borderId="10" xfId="0" applyNumberFormat="1" applyFont="1" applyFill="1" applyBorder="1" applyAlignment="1">
      <alignment horizontal="right" vertical="center" wrapText="1"/>
    </xf>
    <xf numFmtId="178" fontId="10" fillId="33" borderId="13" xfId="0" applyNumberFormat="1" applyFont="1" applyFill="1" applyBorder="1" applyAlignment="1">
      <alignment horizontal="right" vertical="center" wrapText="1"/>
    </xf>
    <xf numFmtId="177" fontId="10" fillId="33" borderId="10" xfId="0" applyNumberFormat="1" applyFont="1" applyFill="1" applyBorder="1" applyAlignment="1">
      <alignment horizontal="right" vertical="center" wrapText="1"/>
    </xf>
    <xf numFmtId="195" fontId="27" fillId="36" borderId="17" xfId="59" applyNumberFormat="1" applyFont="1" applyFill="1" applyBorder="1" applyAlignment="1" applyProtection="1">
      <alignment horizontal="center" vertical="center" wrapText="1"/>
      <protection/>
    </xf>
    <xf numFmtId="10" fontId="27" fillId="36" borderId="17" xfId="59" applyNumberFormat="1" applyFont="1" applyFill="1" applyBorder="1" applyAlignment="1" applyProtection="1">
      <alignment horizontal="center" vertical="center" wrapText="1"/>
      <protection/>
    </xf>
    <xf numFmtId="177" fontId="10" fillId="33" borderId="18" xfId="0" applyNumberFormat="1" applyFont="1" applyFill="1" applyBorder="1" applyAlignment="1">
      <alignment horizontal="right" vertical="center" wrapText="1"/>
    </xf>
    <xf numFmtId="195" fontId="27" fillId="33" borderId="17" xfId="59" applyNumberFormat="1" applyFont="1" applyFill="1" applyBorder="1" applyAlignment="1" applyProtection="1">
      <alignment horizontal="center" vertical="center" wrapText="1"/>
      <protection/>
    </xf>
    <xf numFmtId="10" fontId="27" fillId="33" borderId="17" xfId="59" applyNumberFormat="1" applyFont="1" applyFill="1" applyBorder="1" applyAlignment="1" applyProtection="1">
      <alignment horizontal="center" vertical="center" wrapText="1"/>
      <protection/>
    </xf>
    <xf numFmtId="178" fontId="26" fillId="33" borderId="16" xfId="0" applyNumberFormat="1" applyFont="1" applyFill="1" applyBorder="1" applyAlignment="1">
      <alignment horizontal="right" vertical="center" wrapText="1"/>
    </xf>
    <xf numFmtId="178" fontId="16" fillId="33" borderId="10" xfId="0" applyNumberFormat="1" applyFont="1" applyFill="1" applyBorder="1" applyAlignment="1">
      <alignment horizontal="right" vertical="center" wrapText="1"/>
    </xf>
    <xf numFmtId="173" fontId="16" fillId="33" borderId="10" xfId="0" applyNumberFormat="1" applyFont="1" applyFill="1" applyBorder="1" applyAlignment="1">
      <alignment horizontal="right" vertical="center" wrapText="1"/>
    </xf>
    <xf numFmtId="178" fontId="10" fillId="33" borderId="16" xfId="0" applyNumberFormat="1" applyFont="1" applyFill="1" applyBorder="1" applyAlignment="1">
      <alignment horizontal="right" vertical="center" wrapText="1"/>
    </xf>
    <xf numFmtId="179" fontId="28" fillId="36" borderId="17" xfId="0" applyNumberFormat="1" applyFont="1" applyFill="1" applyBorder="1" applyAlignment="1" applyProtection="1">
      <alignment horizontal="center" vertical="center" wrapText="1"/>
      <protection locked="0"/>
    </xf>
    <xf numFmtId="180" fontId="14" fillId="36" borderId="17" xfId="0" applyNumberFormat="1" applyFont="1" applyFill="1" applyBorder="1" applyAlignment="1">
      <alignment horizontal="center" vertical="center" wrapText="1"/>
    </xf>
    <xf numFmtId="180" fontId="29" fillId="33" borderId="18" xfId="0" applyNumberFormat="1" applyFont="1" applyFill="1" applyBorder="1" applyAlignment="1">
      <alignment horizontal="right" vertical="center" wrapText="1"/>
    </xf>
    <xf numFmtId="178" fontId="26" fillId="33" borderId="11" xfId="0" applyNumberFormat="1" applyFont="1" applyFill="1" applyBorder="1" applyAlignment="1">
      <alignment horizontal="right" vertical="center" wrapText="1"/>
    </xf>
    <xf numFmtId="0" fontId="16" fillId="33" borderId="20" xfId="0" applyFont="1" applyFill="1" applyBorder="1" applyAlignment="1">
      <alignment horizontal="right" vertical="center" wrapText="1"/>
    </xf>
    <xf numFmtId="178" fontId="30" fillId="36" borderId="17" xfId="0" applyNumberFormat="1" applyFont="1" applyFill="1" applyBorder="1" applyAlignment="1">
      <alignment horizontal="center" vertical="center" wrapText="1"/>
    </xf>
    <xf numFmtId="174" fontId="31" fillId="33" borderId="10" xfId="0" applyNumberFormat="1" applyFont="1" applyFill="1" applyBorder="1" applyAlignment="1">
      <alignment horizontal="left" vertical="center" wrapText="1"/>
    </xf>
    <xf numFmtId="178" fontId="26" fillId="33" borderId="10" xfId="0" applyNumberFormat="1" applyFont="1" applyFill="1" applyBorder="1" applyAlignment="1">
      <alignment horizontal="right" vertical="center" wrapText="1"/>
    </xf>
    <xf numFmtId="178" fontId="10" fillId="33" borderId="11" xfId="0" applyNumberFormat="1" applyFont="1" applyFill="1" applyBorder="1" applyAlignment="1">
      <alignment horizontal="right" vertical="center" wrapText="1"/>
    </xf>
    <xf numFmtId="177" fontId="31" fillId="33" borderId="10" xfId="0" applyNumberFormat="1" applyFont="1" applyFill="1" applyBorder="1" applyAlignment="1">
      <alignment horizontal="right" vertical="center" wrapText="1"/>
    </xf>
    <xf numFmtId="178" fontId="10" fillId="33" borderId="10" xfId="0" applyNumberFormat="1" applyFont="1" applyFill="1" applyBorder="1" applyAlignment="1">
      <alignment vertical="center"/>
    </xf>
    <xf numFmtId="0" fontId="16" fillId="33" borderId="14" xfId="0" applyFont="1" applyFill="1" applyBorder="1" applyAlignment="1">
      <alignment horizontal="right" vertical="center" wrapText="1"/>
    </xf>
    <xf numFmtId="178" fontId="14" fillId="37" borderId="22" xfId="0" applyNumberFormat="1" applyFont="1" applyFill="1" applyBorder="1" applyAlignment="1">
      <alignment horizontal="center" vertical="center" wrapText="1"/>
    </xf>
    <xf numFmtId="177" fontId="31" fillId="33" borderId="11" xfId="0" applyNumberFormat="1" applyFont="1" applyFill="1" applyBorder="1" applyAlignment="1">
      <alignment horizontal="right" vertical="center" wrapText="1"/>
    </xf>
    <xf numFmtId="0" fontId="31" fillId="33" borderId="10" xfId="0" applyFont="1" applyFill="1" applyBorder="1" applyAlignment="1">
      <alignment horizontal="right" vertical="center" wrapText="1"/>
    </xf>
    <xf numFmtId="178" fontId="31" fillId="33" borderId="10" xfId="0" applyNumberFormat="1" applyFont="1" applyFill="1" applyBorder="1" applyAlignment="1">
      <alignment horizontal="right" vertical="center" wrapText="1"/>
    </xf>
    <xf numFmtId="182" fontId="27" fillId="37" borderId="17" xfId="59" applyNumberFormat="1" applyFont="1" applyFill="1" applyBorder="1" applyAlignment="1" applyProtection="1">
      <alignment horizontal="center" vertical="center" wrapText="1"/>
      <protection locked="0"/>
    </xf>
    <xf numFmtId="9" fontId="27" fillId="37" borderId="17" xfId="59" applyNumberFormat="1" applyFont="1" applyFill="1" applyBorder="1" applyAlignment="1" applyProtection="1">
      <alignment horizontal="center" vertical="center" wrapText="1"/>
      <protection locked="0"/>
    </xf>
    <xf numFmtId="177" fontId="31" fillId="33" borderId="18" xfId="0" applyNumberFormat="1" applyFont="1" applyFill="1" applyBorder="1" applyAlignment="1">
      <alignment horizontal="right" vertical="center" wrapText="1"/>
    </xf>
    <xf numFmtId="180" fontId="14" fillId="37" borderId="17" xfId="0" applyNumberFormat="1" applyFont="1" applyFill="1" applyBorder="1" applyAlignment="1">
      <alignment horizontal="center" vertical="center" wrapText="1"/>
    </xf>
    <xf numFmtId="178" fontId="30" fillId="37" borderId="17" xfId="0" applyNumberFormat="1" applyFont="1" applyFill="1" applyBorder="1" applyAlignment="1">
      <alignment horizontal="center" vertical="center" wrapText="1"/>
    </xf>
    <xf numFmtId="4" fontId="31" fillId="33" borderId="10" xfId="0" applyNumberFormat="1" applyFont="1" applyFill="1" applyBorder="1" applyAlignment="1">
      <alignment horizontal="right" vertical="center" wrapText="1"/>
    </xf>
    <xf numFmtId="177" fontId="16" fillId="33" borderId="10" xfId="0" applyNumberFormat="1" applyFont="1" applyFill="1" applyBorder="1" applyAlignment="1">
      <alignment horizontal="right" vertical="center" wrapText="1"/>
    </xf>
    <xf numFmtId="180" fontId="34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8" xfId="0" applyFont="1" applyFill="1" applyBorder="1" applyAlignment="1">
      <alignment horizontal="right" vertical="center" wrapText="1"/>
    </xf>
    <xf numFmtId="180" fontId="32" fillId="33" borderId="17" xfId="0" applyNumberFormat="1" applyFont="1" applyFill="1" applyBorder="1" applyAlignment="1">
      <alignment horizontal="center" vertical="center" wrapText="1"/>
    </xf>
    <xf numFmtId="10" fontId="10" fillId="33" borderId="18" xfId="59" applyNumberFormat="1" applyFont="1" applyFill="1" applyBorder="1" applyAlignment="1">
      <alignment horizontal="right" vertical="center" wrapText="1"/>
    </xf>
    <xf numFmtId="180" fontId="32" fillId="33" borderId="0" xfId="0" applyNumberFormat="1" applyFont="1" applyFill="1" applyBorder="1" applyAlignment="1">
      <alignment horizontal="center" vertical="center" wrapText="1"/>
    </xf>
    <xf numFmtId="177" fontId="0" fillId="34" borderId="11" xfId="0" applyNumberFormat="1" applyFont="1" applyFill="1" applyBorder="1" applyAlignment="1">
      <alignment/>
    </xf>
    <xf numFmtId="173" fontId="0" fillId="34" borderId="11" xfId="0" applyNumberFormat="1" applyFont="1" applyFill="1" applyBorder="1" applyAlignment="1">
      <alignment/>
    </xf>
    <xf numFmtId="0" fontId="36" fillId="34" borderId="11" xfId="0" applyFont="1" applyFill="1" applyBorder="1" applyAlignment="1">
      <alignment horizontal="center"/>
    </xf>
    <xf numFmtId="184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184" fontId="0" fillId="34" borderId="13" xfId="0" applyNumberFormat="1" applyFont="1" applyFill="1" applyBorder="1" applyAlignment="1">
      <alignment/>
    </xf>
    <xf numFmtId="184" fontId="0" fillId="34" borderId="11" xfId="0" applyNumberFormat="1" applyFont="1" applyFill="1" applyBorder="1" applyAlignment="1">
      <alignment/>
    </xf>
    <xf numFmtId="0" fontId="36" fillId="34" borderId="13" xfId="0" applyFont="1" applyFill="1" applyBorder="1" applyAlignment="1">
      <alignment horizontal="right"/>
    </xf>
    <xf numFmtId="184" fontId="36" fillId="34" borderId="13" xfId="0" applyNumberFormat="1" applyFont="1" applyFill="1" applyBorder="1" applyAlignment="1">
      <alignment/>
    </xf>
    <xf numFmtId="177" fontId="36" fillId="34" borderId="13" xfId="0" applyNumberFormat="1" applyFont="1" applyFill="1" applyBorder="1" applyAlignment="1">
      <alignment horizontal="right"/>
    </xf>
    <xf numFmtId="0" fontId="0" fillId="34" borderId="13" xfId="0" applyFont="1" applyFill="1" applyBorder="1" applyAlignment="1">
      <alignment/>
    </xf>
    <xf numFmtId="0" fontId="36" fillId="34" borderId="0" xfId="0" applyFont="1" applyFill="1" applyBorder="1" applyAlignment="1">
      <alignment horizontal="right"/>
    </xf>
    <xf numFmtId="184" fontId="36" fillId="34" borderId="0" xfId="0" applyNumberFormat="1" applyFont="1" applyFill="1" applyBorder="1" applyAlignment="1">
      <alignment/>
    </xf>
    <xf numFmtId="177" fontId="36" fillId="34" borderId="0" xfId="0" applyNumberFormat="1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188" fontId="10" fillId="33" borderId="10" xfId="0" applyNumberFormat="1" applyFont="1" applyFill="1" applyBorder="1" applyAlignment="1">
      <alignment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188" fontId="10" fillId="33" borderId="18" xfId="0" applyNumberFormat="1" applyFont="1" applyFill="1" applyBorder="1" applyAlignment="1">
      <alignment vertical="center"/>
    </xf>
    <xf numFmtId="0" fontId="10" fillId="33" borderId="12" xfId="0" applyFont="1" applyFill="1" applyBorder="1" applyAlignment="1">
      <alignment horizontal="right" vertical="center"/>
    </xf>
    <xf numFmtId="171" fontId="10" fillId="33" borderId="10" xfId="42" applyFont="1" applyFill="1" applyBorder="1" applyAlignment="1">
      <alignment horizontal="right" vertical="center"/>
    </xf>
    <xf numFmtId="178" fontId="32" fillId="33" borderId="10" xfId="0" applyNumberFormat="1" applyFont="1" applyFill="1" applyBorder="1" applyAlignment="1">
      <alignment horizontal="left" vertical="center"/>
    </xf>
    <xf numFmtId="10" fontId="32" fillId="33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/>
    </xf>
    <xf numFmtId="0" fontId="4" fillId="34" borderId="12" xfId="0" applyFont="1" applyFill="1" applyBorder="1" applyAlignment="1">
      <alignment horizontal="right"/>
    </xf>
    <xf numFmtId="173" fontId="4" fillId="34" borderId="12" xfId="0" applyNumberFormat="1" applyFont="1" applyFill="1" applyBorder="1" applyAlignment="1">
      <alignment horizontal="right"/>
    </xf>
    <xf numFmtId="180" fontId="31" fillId="33" borderId="10" xfId="0" applyNumberFormat="1" applyFont="1" applyFill="1" applyBorder="1" applyAlignment="1">
      <alignment horizontal="right" vertical="center" wrapText="1"/>
    </xf>
    <xf numFmtId="10" fontId="10" fillId="33" borderId="10" xfId="59" applyNumberFormat="1" applyFont="1" applyFill="1" applyBorder="1" applyAlignment="1">
      <alignment horizontal="right" vertical="center" wrapText="1"/>
    </xf>
    <xf numFmtId="184" fontId="17" fillId="38" borderId="26" xfId="0" applyNumberFormat="1" applyFont="1" applyFill="1" applyBorder="1" applyAlignment="1">
      <alignment/>
    </xf>
    <xf numFmtId="0" fontId="10" fillId="33" borderId="27" xfId="0" applyFont="1" applyFill="1" applyBorder="1" applyAlignment="1">
      <alignment horizontal="left" vertical="center" wrapText="1"/>
    </xf>
    <xf numFmtId="173" fontId="10" fillId="33" borderId="28" xfId="0" applyNumberFormat="1" applyFont="1" applyFill="1" applyBorder="1" applyAlignment="1">
      <alignment horizontal="left" vertical="center" wrapText="1"/>
    </xf>
    <xf numFmtId="10" fontId="16" fillId="33" borderId="29" xfId="59" applyNumberFormat="1" applyFont="1" applyFill="1" applyBorder="1" applyAlignment="1">
      <alignment horizontal="right" vertical="center" wrapText="1"/>
    </xf>
    <xf numFmtId="174" fontId="10" fillId="33" borderId="29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right" vertical="center"/>
    </xf>
    <xf numFmtId="187" fontId="18" fillId="33" borderId="16" xfId="0" applyNumberFormat="1" applyFont="1" applyFill="1" applyBorder="1" applyAlignment="1" applyProtection="1">
      <alignment horizontal="center" vertical="center" wrapText="1"/>
      <protection locked="0"/>
    </xf>
    <xf numFmtId="172" fontId="75" fillId="33" borderId="18" xfId="0" applyNumberFormat="1" applyFont="1" applyFill="1" applyBorder="1" applyAlignment="1">
      <alignment horizontal="center" vertical="center"/>
    </xf>
    <xf numFmtId="174" fontId="8" fillId="33" borderId="10" xfId="0" applyNumberFormat="1" applyFont="1" applyFill="1" applyBorder="1" applyAlignment="1">
      <alignment vertical="center"/>
    </xf>
    <xf numFmtId="178" fontId="8" fillId="33" borderId="10" xfId="0" applyNumberFormat="1" applyFont="1" applyFill="1" applyBorder="1" applyAlignment="1">
      <alignment vertical="center"/>
    </xf>
    <xf numFmtId="184" fontId="8" fillId="33" borderId="10" xfId="0" applyNumberFormat="1" applyFont="1" applyFill="1" applyBorder="1" applyAlignment="1">
      <alignment vertical="center"/>
    </xf>
    <xf numFmtId="184" fontId="10" fillId="33" borderId="10" xfId="0" applyNumberFormat="1" applyFont="1" applyFill="1" applyBorder="1" applyAlignment="1">
      <alignment vertical="center"/>
    </xf>
    <xf numFmtId="10" fontId="17" fillId="39" borderId="26" xfId="59" applyNumberFormat="1" applyFont="1" applyFill="1" applyBorder="1" applyAlignment="1" applyProtection="1">
      <alignment/>
      <protection locked="0"/>
    </xf>
    <xf numFmtId="184" fontId="38" fillId="39" borderId="26" xfId="0" applyNumberFormat="1" applyFont="1" applyFill="1" applyBorder="1" applyAlignment="1">
      <alignment/>
    </xf>
    <xf numFmtId="4" fontId="17" fillId="39" borderId="26" xfId="0" applyNumberFormat="1" applyFont="1" applyFill="1" applyBorder="1" applyAlignment="1">
      <alignment/>
    </xf>
    <xf numFmtId="184" fontId="17" fillId="39" borderId="26" xfId="0" applyNumberFormat="1" applyFont="1" applyFill="1" applyBorder="1" applyAlignment="1">
      <alignment vertical="center"/>
    </xf>
    <xf numFmtId="184" fontId="0" fillId="34" borderId="0" xfId="0" applyNumberFormat="1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10" fillId="33" borderId="30" xfId="0" applyFont="1" applyFill="1" applyBorder="1" applyAlignment="1">
      <alignment vertical="center"/>
    </xf>
    <xf numFmtId="0" fontId="10" fillId="33" borderId="31" xfId="0" applyFont="1" applyFill="1" applyBorder="1" applyAlignment="1">
      <alignment vertical="center"/>
    </xf>
    <xf numFmtId="173" fontId="4" fillId="34" borderId="18" xfId="0" applyNumberFormat="1" applyFont="1" applyFill="1" applyBorder="1" applyAlignment="1">
      <alignment horizontal="right"/>
    </xf>
    <xf numFmtId="4" fontId="17" fillId="39" borderId="26" xfId="59" applyNumberFormat="1" applyFont="1" applyFill="1" applyBorder="1" applyAlignment="1" applyProtection="1">
      <alignment horizontal="center"/>
      <protection locked="0"/>
    </xf>
    <xf numFmtId="184" fontId="0" fillId="39" borderId="26" xfId="0" applyNumberFormat="1" applyFont="1" applyFill="1" applyBorder="1" applyAlignment="1">
      <alignment/>
    </xf>
    <xf numFmtId="4" fontId="37" fillId="39" borderId="26" xfId="0" applyNumberFormat="1" applyFont="1" applyFill="1" applyBorder="1" applyAlignment="1">
      <alignment/>
    </xf>
    <xf numFmtId="3" fontId="39" fillId="39" borderId="26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right"/>
    </xf>
    <xf numFmtId="184" fontId="0" fillId="34" borderId="16" xfId="0" applyNumberFormat="1" applyFont="1" applyFill="1" applyBorder="1" applyAlignment="1">
      <alignment/>
    </xf>
    <xf numFmtId="177" fontId="4" fillId="34" borderId="13" xfId="0" applyNumberFormat="1" applyFont="1" applyFill="1" applyBorder="1" applyAlignment="1">
      <alignment horizontal="right"/>
    </xf>
    <xf numFmtId="10" fontId="10" fillId="33" borderId="10" xfId="0" applyNumberFormat="1" applyFont="1" applyFill="1" applyBorder="1" applyAlignment="1">
      <alignment vertical="center"/>
    </xf>
    <xf numFmtId="10" fontId="0" fillId="34" borderId="0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229" fontId="10" fillId="33" borderId="11" xfId="0" applyNumberFormat="1" applyFont="1" applyFill="1" applyBorder="1" applyAlignment="1" applyProtection="1">
      <alignment horizontal="center" vertical="center" wrapText="1"/>
      <protection locked="0"/>
    </xf>
    <xf numFmtId="174" fontId="76" fillId="33" borderId="26" xfId="0" applyNumberFormat="1" applyFont="1" applyFill="1" applyBorder="1" applyAlignment="1">
      <alignment horizontal="center" vertical="center" wrapText="1"/>
    </xf>
    <xf numFmtId="177" fontId="16" fillId="33" borderId="12" xfId="0" applyNumberFormat="1" applyFont="1" applyFill="1" applyBorder="1" applyAlignment="1">
      <alignment horizontal="right" vertical="center" wrapText="1"/>
    </xf>
    <xf numFmtId="177" fontId="16" fillId="33" borderId="18" xfId="0" applyNumberFormat="1" applyFont="1" applyFill="1" applyBorder="1" applyAlignment="1">
      <alignment horizontal="right" vertical="center" wrapText="1"/>
    </xf>
    <xf numFmtId="173" fontId="0" fillId="34" borderId="18" xfId="0" applyNumberFormat="1" applyFont="1" applyFill="1" applyBorder="1" applyAlignment="1">
      <alignment vertical="center"/>
    </xf>
    <xf numFmtId="174" fontId="10" fillId="33" borderId="10" xfId="0" applyNumberFormat="1" applyFont="1" applyFill="1" applyBorder="1" applyAlignment="1">
      <alignment horizontal="left" vertical="center"/>
    </xf>
    <xf numFmtId="229" fontId="10" fillId="33" borderId="10" xfId="0" applyNumberFormat="1" applyFont="1" applyFill="1" applyBorder="1" applyAlignment="1">
      <alignment horizontal="left" vertical="center"/>
    </xf>
    <xf numFmtId="10" fontId="77" fillId="33" borderId="23" xfId="0" applyNumberFormat="1" applyFont="1" applyFill="1" applyBorder="1" applyAlignment="1">
      <alignment horizontal="center" vertical="center"/>
    </xf>
    <xf numFmtId="0" fontId="16" fillId="33" borderId="32" xfId="0" applyFont="1" applyFill="1" applyBorder="1" applyAlignment="1">
      <alignment horizontal="right" vertical="center" wrapText="1"/>
    </xf>
    <xf numFmtId="10" fontId="77" fillId="33" borderId="0" xfId="0" applyNumberFormat="1" applyFont="1" applyFill="1" applyBorder="1" applyAlignment="1">
      <alignment horizontal="center" vertical="center"/>
    </xf>
    <xf numFmtId="174" fontId="14" fillId="33" borderId="33" xfId="0" applyNumberFormat="1" applyFont="1" applyFill="1" applyBorder="1" applyAlignment="1">
      <alignment horizontal="center" vertical="center" wrapText="1"/>
    </xf>
    <xf numFmtId="171" fontId="10" fillId="33" borderId="18" xfId="42" applyFont="1" applyFill="1" applyBorder="1" applyAlignment="1">
      <alignment vertical="center"/>
    </xf>
    <xf numFmtId="171" fontId="10" fillId="33" borderId="12" xfId="42" applyFont="1" applyFill="1" applyBorder="1" applyAlignment="1">
      <alignment vertical="center" wrapText="1"/>
    </xf>
    <xf numFmtId="171" fontId="10" fillId="33" borderId="20" xfId="42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right" vertical="center" wrapText="1"/>
    </xf>
    <xf numFmtId="0" fontId="16" fillId="33" borderId="31" xfId="0" applyFont="1" applyFill="1" applyBorder="1" applyAlignment="1">
      <alignment horizontal="right" vertical="center" wrapText="1"/>
    </xf>
    <xf numFmtId="0" fontId="16" fillId="33" borderId="14" xfId="0" applyFont="1" applyFill="1" applyBorder="1" applyAlignment="1">
      <alignment horizontal="right" vertical="center" wrapText="1"/>
    </xf>
    <xf numFmtId="0" fontId="16" fillId="33" borderId="34" xfId="0" applyFont="1" applyFill="1" applyBorder="1" applyAlignment="1">
      <alignment horizontal="right" vertical="center" wrapText="1"/>
    </xf>
    <xf numFmtId="10" fontId="77" fillId="33" borderId="19" xfId="0" applyNumberFormat="1" applyFont="1" applyFill="1" applyBorder="1" applyAlignment="1">
      <alignment horizontal="center" vertical="center"/>
    </xf>
    <xf numFmtId="10" fontId="77" fillId="33" borderId="31" xfId="0" applyNumberFormat="1" applyFont="1" applyFill="1" applyBorder="1" applyAlignment="1">
      <alignment horizontal="center" vertical="center"/>
    </xf>
    <xf numFmtId="10" fontId="77" fillId="33" borderId="15" xfId="0" applyNumberFormat="1" applyFont="1" applyFill="1" applyBorder="1" applyAlignment="1">
      <alignment horizontal="center" vertical="center"/>
    </xf>
    <xf numFmtId="10" fontId="77" fillId="33" borderId="23" xfId="0" applyNumberFormat="1" applyFont="1" applyFill="1" applyBorder="1" applyAlignment="1">
      <alignment horizontal="center" vertical="center"/>
    </xf>
    <xf numFmtId="183" fontId="33" fillId="33" borderId="12" xfId="0" applyNumberFormat="1" applyFont="1" applyFill="1" applyBorder="1" applyAlignment="1">
      <alignment horizontal="right" vertical="center" wrapText="1"/>
    </xf>
    <xf numFmtId="183" fontId="33" fillId="33" borderId="20" xfId="0" applyNumberFormat="1" applyFont="1" applyFill="1" applyBorder="1" applyAlignment="1">
      <alignment horizontal="right" vertical="center" wrapText="1"/>
    </xf>
    <xf numFmtId="183" fontId="33" fillId="33" borderId="18" xfId="0" applyNumberFormat="1" applyFont="1" applyFill="1" applyBorder="1" applyAlignment="1">
      <alignment horizontal="right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181" fontId="4" fillId="34" borderId="18" xfId="0" applyNumberFormat="1" applyFont="1" applyFill="1" applyBorder="1" applyAlignment="1" applyProtection="1">
      <alignment horizontal="right" vertical="center"/>
      <protection locked="0"/>
    </xf>
    <xf numFmtId="181" fontId="4" fillId="34" borderId="12" xfId="0" applyNumberFormat="1" applyFont="1" applyFill="1" applyBorder="1" applyAlignment="1" applyProtection="1">
      <alignment horizontal="right" vertical="center"/>
      <protection locked="0"/>
    </xf>
    <xf numFmtId="177" fontId="4" fillId="34" borderId="10" xfId="0" applyNumberFormat="1" applyFont="1" applyFill="1" applyBorder="1" applyAlignment="1">
      <alignment horizontal="right"/>
    </xf>
    <xf numFmtId="0" fontId="37" fillId="34" borderId="37" xfId="0" applyFont="1" applyFill="1" applyBorder="1" applyAlignment="1">
      <alignment horizontal="center" vertical="center" wrapText="1"/>
    </xf>
    <xf numFmtId="0" fontId="37" fillId="34" borderId="30" xfId="0" applyFont="1" applyFill="1" applyBorder="1" applyAlignment="1">
      <alignment horizontal="center" vertical="center" wrapText="1"/>
    </xf>
    <xf numFmtId="0" fontId="37" fillId="34" borderId="31" xfId="0" applyFont="1" applyFill="1" applyBorder="1" applyAlignment="1">
      <alignment horizontal="center" vertical="center" wrapText="1"/>
    </xf>
    <xf numFmtId="0" fontId="37" fillId="34" borderId="38" xfId="0" applyFont="1" applyFill="1" applyBorder="1" applyAlignment="1">
      <alignment horizontal="center" vertical="center" wrapText="1"/>
    </xf>
    <xf numFmtId="0" fontId="37" fillId="34" borderId="0" xfId="0" applyFont="1" applyFill="1" applyBorder="1" applyAlignment="1">
      <alignment horizontal="center" vertical="center" wrapText="1"/>
    </xf>
    <xf numFmtId="0" fontId="37" fillId="34" borderId="23" xfId="0" applyFont="1" applyFill="1" applyBorder="1" applyAlignment="1">
      <alignment horizontal="center" vertical="center" wrapText="1"/>
    </xf>
    <xf numFmtId="0" fontId="37" fillId="34" borderId="39" xfId="0" applyFont="1" applyFill="1" applyBorder="1" applyAlignment="1">
      <alignment horizontal="center" vertical="center" wrapText="1"/>
    </xf>
    <xf numFmtId="0" fontId="37" fillId="34" borderId="32" xfId="0" applyFont="1" applyFill="1" applyBorder="1" applyAlignment="1">
      <alignment horizontal="center" vertical="center" wrapText="1"/>
    </xf>
    <xf numFmtId="0" fontId="37" fillId="34" borderId="34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right" vertical="center" wrapText="1"/>
    </xf>
    <xf numFmtId="0" fontId="16" fillId="33" borderId="40" xfId="0" applyFont="1" applyFill="1" applyBorder="1" applyAlignment="1">
      <alignment horizontal="right" vertical="center" wrapText="1"/>
    </xf>
    <xf numFmtId="0" fontId="4" fillId="34" borderId="18" xfId="0" applyFont="1" applyFill="1" applyBorder="1" applyAlignment="1">
      <alignment horizontal="right"/>
    </xf>
    <xf numFmtId="0" fontId="4" fillId="34" borderId="12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35" fillId="34" borderId="14" xfId="0" applyFont="1" applyFill="1" applyBorder="1" applyAlignment="1">
      <alignment horizontal="center"/>
    </xf>
    <xf numFmtId="0" fontId="35" fillId="34" borderId="0" xfId="0" applyFont="1" applyFill="1" applyBorder="1" applyAlignment="1">
      <alignment horizontal="center"/>
    </xf>
    <xf numFmtId="0" fontId="35" fillId="34" borderId="34" xfId="0" applyFont="1" applyFill="1" applyBorder="1" applyAlignment="1">
      <alignment horizontal="center"/>
    </xf>
    <xf numFmtId="192" fontId="20" fillId="33" borderId="12" xfId="0" applyNumberFormat="1" applyFont="1" applyFill="1" applyBorder="1" applyAlignment="1" applyProtection="1">
      <alignment horizontal="right" vertical="center" wrapText="1"/>
      <protection/>
    </xf>
    <xf numFmtId="192" fontId="20" fillId="33" borderId="40" xfId="0" applyNumberFormat="1" applyFont="1" applyFill="1" applyBorder="1" applyAlignment="1" applyProtection="1">
      <alignment horizontal="right" vertical="center" wrapText="1"/>
      <protection/>
    </xf>
    <xf numFmtId="177" fontId="16" fillId="33" borderId="12" xfId="0" applyNumberFormat="1" applyFont="1" applyFill="1" applyBorder="1" applyAlignment="1">
      <alignment horizontal="right" vertical="center" wrapText="1"/>
    </xf>
    <xf numFmtId="177" fontId="16" fillId="33" borderId="18" xfId="0" applyNumberFormat="1" applyFont="1" applyFill="1" applyBorder="1" applyAlignment="1">
      <alignment horizontal="right" vertical="center" wrapText="1"/>
    </xf>
    <xf numFmtId="0" fontId="21" fillId="33" borderId="35" xfId="0" applyFont="1" applyFill="1" applyBorder="1" applyAlignment="1">
      <alignment horizontal="left" wrapText="1"/>
    </xf>
    <xf numFmtId="0" fontId="21" fillId="33" borderId="41" xfId="0" applyFont="1" applyFill="1" applyBorder="1" applyAlignment="1">
      <alignment horizontal="left" wrapText="1"/>
    </xf>
    <xf numFmtId="0" fontId="21" fillId="33" borderId="36" xfId="0" applyFont="1" applyFill="1" applyBorder="1" applyAlignment="1">
      <alignment horizontal="left" wrapText="1"/>
    </xf>
    <xf numFmtId="0" fontId="16" fillId="33" borderId="42" xfId="0" applyFont="1" applyFill="1" applyBorder="1" applyAlignment="1">
      <alignment horizontal="right" vertical="center" wrapText="1"/>
    </xf>
    <xf numFmtId="0" fontId="16" fillId="33" borderId="43" xfId="0" applyFont="1" applyFill="1" applyBorder="1" applyAlignment="1">
      <alignment horizontal="right" vertical="center" wrapText="1"/>
    </xf>
    <xf numFmtId="0" fontId="16" fillId="33" borderId="44" xfId="0" applyFont="1" applyFill="1" applyBorder="1" applyAlignment="1">
      <alignment horizontal="right" vertical="center" wrapText="1"/>
    </xf>
    <xf numFmtId="173" fontId="10" fillId="33" borderId="45" xfId="0" applyNumberFormat="1" applyFont="1" applyFill="1" applyBorder="1" applyAlignment="1">
      <alignment horizontal="left" vertical="center" wrapText="1"/>
    </xf>
    <xf numFmtId="0" fontId="10" fillId="33" borderId="27" xfId="0" applyFont="1" applyFill="1" applyBorder="1" applyAlignment="1">
      <alignment horizontal="left" vertical="center" wrapText="1"/>
    </xf>
    <xf numFmtId="225" fontId="4" fillId="33" borderId="12" xfId="0" applyNumberFormat="1" applyFont="1" applyFill="1" applyBorder="1" applyAlignment="1">
      <alignment horizontal="right" vertical="center" wrapText="1" indent="1"/>
    </xf>
    <xf numFmtId="225" fontId="0" fillId="0" borderId="40" xfId="0" applyNumberFormat="1" applyFont="1" applyBorder="1" applyAlignment="1">
      <alignment horizontal="right" vertical="center" wrapText="1" indent="1"/>
    </xf>
    <xf numFmtId="0" fontId="10" fillId="33" borderId="45" xfId="0" applyFont="1" applyFill="1" applyBorder="1" applyAlignment="1">
      <alignment horizontal="left" vertical="center" wrapText="1"/>
    </xf>
    <xf numFmtId="219" fontId="16" fillId="33" borderId="12" xfId="0" applyNumberFormat="1" applyFont="1" applyFill="1" applyBorder="1" applyAlignment="1">
      <alignment horizontal="right" vertical="center" wrapText="1" indent="1"/>
    </xf>
    <xf numFmtId="219" fontId="0" fillId="0" borderId="40" xfId="0" applyNumberFormat="1" applyFont="1" applyBorder="1" applyAlignment="1">
      <alignment horizontal="right" vertical="center" wrapText="1" indent="1"/>
    </xf>
    <xf numFmtId="0" fontId="16" fillId="33" borderId="18" xfId="0" applyFont="1" applyFill="1" applyBorder="1" applyAlignment="1">
      <alignment horizontal="right" vertical="center" wrapText="1"/>
    </xf>
    <xf numFmtId="0" fontId="21" fillId="33" borderId="46" xfId="0" applyFont="1" applyFill="1" applyBorder="1" applyAlignment="1">
      <alignment horizontal="left" wrapText="1"/>
    </xf>
    <xf numFmtId="0" fontId="21" fillId="33" borderId="21" xfId="0" applyFont="1" applyFill="1" applyBorder="1" applyAlignment="1">
      <alignment horizontal="left" wrapText="1"/>
    </xf>
    <xf numFmtId="0" fontId="21" fillId="33" borderId="47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right" vertical="center" wrapText="1" indent="1"/>
    </xf>
    <xf numFmtId="0" fontId="0" fillId="0" borderId="48" xfId="0" applyFont="1" applyBorder="1" applyAlignment="1">
      <alignment horizontal="right" vertical="center" wrapText="1" indent="1"/>
    </xf>
    <xf numFmtId="173" fontId="10" fillId="33" borderId="23" xfId="0" applyNumberFormat="1" applyFont="1" applyFill="1" applyBorder="1" applyAlignment="1">
      <alignment horizontal="left" vertical="center" wrapText="1"/>
    </xf>
    <xf numFmtId="0" fontId="10" fillId="33" borderId="16" xfId="0" applyFont="1" applyFill="1" applyBorder="1" applyAlignment="1">
      <alignment horizontal="left" vertical="center" wrapText="1"/>
    </xf>
    <xf numFmtId="224" fontId="23" fillId="33" borderId="12" xfId="0" applyNumberFormat="1" applyFont="1" applyFill="1" applyBorder="1" applyAlignment="1">
      <alignment horizontal="right" vertical="center" wrapText="1" indent="1"/>
    </xf>
    <xf numFmtId="224" fontId="24" fillId="0" borderId="20" xfId="0" applyNumberFormat="1" applyFont="1" applyBorder="1" applyAlignment="1">
      <alignment horizontal="right" vertical="center" wrapText="1" indent="1"/>
    </xf>
    <xf numFmtId="0" fontId="16" fillId="33" borderId="12" xfId="0" applyFont="1" applyFill="1" applyBorder="1" applyAlignment="1">
      <alignment horizontal="right" vertical="center" wrapText="1" indent="1"/>
    </xf>
    <xf numFmtId="0" fontId="0" fillId="0" borderId="18" xfId="0" applyFont="1" applyBorder="1" applyAlignment="1">
      <alignment horizontal="right" vertical="center" wrapText="1" indent="1"/>
    </xf>
    <xf numFmtId="0" fontId="16" fillId="33" borderId="14" xfId="0" applyFont="1" applyFill="1" applyBorder="1" applyAlignment="1">
      <alignment horizontal="right" vertical="center" wrapText="1" indent="1"/>
    </xf>
    <xf numFmtId="0" fontId="0" fillId="0" borderId="49" xfId="0" applyFont="1" applyBorder="1" applyAlignment="1">
      <alignment horizontal="right" vertical="center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L441"/>
  <sheetViews>
    <sheetView tabSelected="1" zoomScalePageLayoutView="0" workbookViewId="0" topLeftCell="A1">
      <selection activeCell="B440" sqref="B440:D440"/>
    </sheetView>
  </sheetViews>
  <sheetFormatPr defaultColWidth="9.28125" defaultRowHeight="12.75"/>
  <cols>
    <col min="1" max="1" width="2.421875" style="1" customWidth="1"/>
    <col min="2" max="2" width="33.7109375" style="1" bestFit="1" customWidth="1"/>
    <col min="3" max="3" width="19.57421875" style="1" bestFit="1" customWidth="1"/>
    <col min="4" max="4" width="17.28125" style="1" bestFit="1" customWidth="1"/>
    <col min="5" max="5" width="25.8515625" style="1" bestFit="1" customWidth="1"/>
    <col min="6" max="6" width="17.8515625" style="1" bestFit="1" customWidth="1"/>
    <col min="7" max="7" width="18.28125" style="2" customWidth="1"/>
    <col min="8" max="8" width="17.57421875" style="3" customWidth="1"/>
    <col min="9" max="9" width="11.7109375" style="1" customWidth="1"/>
    <col min="10" max="10" width="4.00390625" style="1" customWidth="1"/>
    <col min="11" max="11" width="15.7109375" style="1" bestFit="1" customWidth="1"/>
    <col min="12" max="12" width="16.421875" style="1" bestFit="1" customWidth="1"/>
    <col min="13" max="16384" width="9.28125" style="1" customWidth="1"/>
  </cols>
  <sheetData>
    <row r="1" spans="1:7" ht="12.75">
      <c r="A1" s="10"/>
      <c r="B1" s="10"/>
      <c r="C1" s="10"/>
      <c r="D1" s="10"/>
      <c r="E1" s="10"/>
      <c r="F1" s="10"/>
      <c r="G1" s="27"/>
    </row>
    <row r="2" spans="1:10" s="6" customFormat="1" ht="21.75" customHeight="1">
      <c r="A2" s="5"/>
      <c r="B2" s="33" t="s">
        <v>63</v>
      </c>
      <c r="C2" s="29"/>
      <c r="D2" s="29"/>
      <c r="E2" s="34"/>
      <c r="F2" s="29"/>
      <c r="G2" s="30"/>
      <c r="H2" s="31"/>
      <c r="I2" s="32"/>
      <c r="J2" s="32"/>
    </row>
    <row r="3" spans="1:10" s="6" customFormat="1" ht="21.75" customHeight="1">
      <c r="A3" s="5"/>
      <c r="B3" s="33"/>
      <c r="C3" s="29"/>
      <c r="D3" s="29"/>
      <c r="E3" s="34"/>
      <c r="F3" s="29"/>
      <c r="G3" s="30"/>
      <c r="H3" s="31"/>
      <c r="I3" s="32"/>
      <c r="J3" s="32"/>
    </row>
    <row r="4" spans="1:10" s="6" customFormat="1" ht="21" customHeight="1">
      <c r="A4" s="5"/>
      <c r="B4" s="35"/>
      <c r="C4" s="29"/>
      <c r="D4" s="36" t="s">
        <v>45</v>
      </c>
      <c r="E4" s="151">
        <v>65</v>
      </c>
      <c r="F4" s="32"/>
      <c r="G4" s="30"/>
      <c r="H4" s="31"/>
      <c r="I4" s="32"/>
      <c r="J4" s="32"/>
    </row>
    <row r="5" spans="2:10" ht="20.25" thickBot="1">
      <c r="B5" s="37"/>
      <c r="C5" s="38"/>
      <c r="D5" s="36" t="s">
        <v>25</v>
      </c>
      <c r="E5" s="150">
        <v>1350</v>
      </c>
      <c r="F5" s="39"/>
      <c r="G5" s="149"/>
      <c r="H5" s="40"/>
      <c r="I5" s="28"/>
      <c r="J5" s="28"/>
    </row>
    <row r="6" spans="2:10" ht="19.5" customHeight="1" thickBot="1">
      <c r="B6" s="28"/>
      <c r="C6" s="28"/>
      <c r="D6" s="41" t="s">
        <v>23</v>
      </c>
      <c r="E6" s="187">
        <f>E5*E4</f>
        <v>87750</v>
      </c>
      <c r="F6" s="42"/>
      <c r="G6" s="43"/>
      <c r="H6" s="40"/>
      <c r="I6" s="28"/>
      <c r="J6" s="28"/>
    </row>
    <row r="7" spans="1:12" ht="21.75" customHeight="1">
      <c r="A7" s="8"/>
      <c r="B7" s="247" t="s">
        <v>0</v>
      </c>
      <c r="C7" s="248"/>
      <c r="D7" s="248"/>
      <c r="E7" s="248"/>
      <c r="F7" s="248"/>
      <c r="G7" s="249"/>
      <c r="H7" s="194" t="s">
        <v>60</v>
      </c>
      <c r="I7" s="195"/>
      <c r="J7" s="28"/>
      <c r="K7" s="192" t="s">
        <v>61</v>
      </c>
      <c r="L7" s="193"/>
    </row>
    <row r="8" spans="1:12" ht="20.25">
      <c r="A8" s="4"/>
      <c r="B8" s="253" t="str">
        <f>"Kupac stana kao obvezno učešće:   "&amp;ROUND(E6*D8/E4,2)&amp;" €/m²"</f>
        <v>Kupac stana kao obvezno učešće:   202.5 €/m²</v>
      </c>
      <c r="C8" s="254"/>
      <c r="D8" s="45">
        <v>0.15</v>
      </c>
      <c r="E8" s="46">
        <f>+E6*D8</f>
        <v>13162.5</v>
      </c>
      <c r="F8" s="255" t="s">
        <v>1</v>
      </c>
      <c r="G8" s="256"/>
      <c r="H8" s="176" t="s">
        <v>54</v>
      </c>
      <c r="I8" s="178">
        <v>22000</v>
      </c>
      <c r="J8" s="43"/>
      <c r="K8" s="28" t="s">
        <v>58</v>
      </c>
      <c r="L8" s="182">
        <f>E8+E9</f>
        <v>54112.5</v>
      </c>
    </row>
    <row r="9" spans="2:12" ht="20.25" customHeight="1">
      <c r="B9" s="261" t="str">
        <f>"Kredit Poslovne banke:   "&amp;E5-(ROUND(E6*D8/E4,2)+B11+B12)&amp;" €/m²"</f>
        <v>Kredit Poslovne banke:   630 €/m²</v>
      </c>
      <c r="C9" s="262"/>
      <c r="D9" s="48">
        <f>+(E5-(E6*D8/E4+B11+B12))/E5</f>
        <v>0.4666666666666667</v>
      </c>
      <c r="E9" s="49">
        <f>+E6*D9</f>
        <v>40950</v>
      </c>
      <c r="F9" s="239" t="s">
        <v>46</v>
      </c>
      <c r="G9" s="240"/>
      <c r="H9" s="175" t="s">
        <v>59</v>
      </c>
      <c r="I9" s="177">
        <f>I8/E6</f>
        <v>0.25071225071225073</v>
      </c>
      <c r="J9" s="28"/>
      <c r="K9" s="28" t="str">
        <f>$H$9</f>
        <v>Postotak učešća:</v>
      </c>
      <c r="L9" s="183">
        <f>L8/E6</f>
        <v>0.6166666666666667</v>
      </c>
    </row>
    <row r="10" spans="2:10" ht="12" customHeight="1">
      <c r="B10" s="257">
        <v>450</v>
      </c>
      <c r="C10" s="258"/>
      <c r="D10" s="147"/>
      <c r="E10" s="148"/>
      <c r="F10" s="146"/>
      <c r="G10" s="145"/>
      <c r="H10" s="50"/>
      <c r="I10" s="47"/>
      <c r="J10" s="28"/>
    </row>
    <row r="11" spans="2:12" ht="16.5" customHeight="1">
      <c r="B11" s="241">
        <f>B10*0.65</f>
        <v>292.5</v>
      </c>
      <c r="C11" s="242"/>
      <c r="D11" s="51">
        <f>+B11/E5</f>
        <v>0.21666666666666667</v>
      </c>
      <c r="E11" s="52">
        <f>+E6*D11</f>
        <v>19012.5</v>
      </c>
      <c r="F11" s="243" t="s">
        <v>47</v>
      </c>
      <c r="G11" s="240"/>
      <c r="H11" s="50"/>
      <c r="I11" s="47"/>
      <c r="J11" s="28"/>
      <c r="L11" s="1">
        <v>1</v>
      </c>
    </row>
    <row r="12" spans="2:10" ht="20.25" customHeight="1">
      <c r="B12" s="244">
        <v>225</v>
      </c>
      <c r="C12" s="245"/>
      <c r="D12" s="51">
        <f>+B12/E5</f>
        <v>0.16666666666666666</v>
      </c>
      <c r="E12" s="52">
        <f>+E6*D12</f>
        <v>14625</v>
      </c>
      <c r="F12" s="243"/>
      <c r="G12" s="240"/>
      <c r="H12" s="40"/>
      <c r="I12" s="47"/>
      <c r="J12" s="28"/>
    </row>
    <row r="13" spans="2:10" ht="15" customHeight="1">
      <c r="B13" s="259" t="str">
        <f>"UKUPNO:   "&amp;SUM(ROUND(E6*D8/E4,2),E5-(ROUND(E6*D8/E4,2)+B11+B12),B11,B12)&amp;" €/m²"</f>
        <v>UKUPNO:   1350 €/m²</v>
      </c>
      <c r="C13" s="260"/>
      <c r="D13" s="53">
        <f>SUM(D8:D12)</f>
        <v>1</v>
      </c>
      <c r="E13" s="54">
        <f>SUM(E8:E12)</f>
        <v>87750</v>
      </c>
      <c r="F13" s="38"/>
      <c r="G13" s="38"/>
      <c r="H13" s="55"/>
      <c r="I13" s="47"/>
      <c r="J13" s="28"/>
    </row>
    <row r="14" spans="1:10" ht="21.75" customHeight="1">
      <c r="A14" s="8"/>
      <c r="B14" s="233" t="s">
        <v>24</v>
      </c>
      <c r="C14" s="234"/>
      <c r="D14" s="234"/>
      <c r="E14" s="234"/>
      <c r="F14" s="234"/>
      <c r="G14" s="235"/>
      <c r="H14" s="40"/>
      <c r="I14" s="28"/>
      <c r="J14" s="28"/>
    </row>
    <row r="15" spans="1:11" ht="20.25">
      <c r="A15" s="10"/>
      <c r="B15" s="56" t="str">
        <f>D8*100&amp;" % obvezno učešće:"</f>
        <v>15 % obvezno učešće:</v>
      </c>
      <c r="C15" s="57">
        <f>E8</f>
        <v>13162.5</v>
      </c>
      <c r="D15" s="58"/>
      <c r="E15" s="40"/>
      <c r="F15" s="59"/>
      <c r="G15" s="59"/>
      <c r="H15" s="40"/>
      <c r="I15" s="60"/>
      <c r="J15" s="28"/>
      <c r="K15" s="152"/>
    </row>
    <row r="16" spans="1:10" ht="21.75" customHeight="1">
      <c r="A16" s="8"/>
      <c r="B16" s="247" t="s">
        <v>2</v>
      </c>
      <c r="C16" s="248"/>
      <c r="D16" s="248"/>
      <c r="E16" s="248"/>
      <c r="F16" s="248"/>
      <c r="G16" s="249"/>
      <c r="H16" s="40"/>
      <c r="I16" s="28"/>
      <c r="J16" s="28"/>
    </row>
    <row r="17" spans="1:10" ht="5.25" customHeight="1">
      <c r="A17" s="16"/>
      <c r="B17" s="61"/>
      <c r="C17" s="44"/>
      <c r="D17" s="62"/>
      <c r="E17" s="62"/>
      <c r="F17" s="62"/>
      <c r="G17" s="63"/>
      <c r="H17" s="40"/>
      <c r="I17" s="28"/>
      <c r="J17" s="28"/>
    </row>
    <row r="18" spans="1:10" ht="21.75" customHeight="1">
      <c r="A18" s="16"/>
      <c r="B18" s="17" t="s">
        <v>30</v>
      </c>
      <c r="C18" s="64" t="s">
        <v>40</v>
      </c>
      <c r="D18" s="62"/>
      <c r="E18" s="62"/>
      <c r="F18" s="62"/>
      <c r="G18" s="63"/>
      <c r="H18" s="40"/>
      <c r="I18" s="28"/>
      <c r="J18" s="28"/>
    </row>
    <row r="19" spans="1:10" ht="21.75" customHeight="1">
      <c r="A19" s="16"/>
      <c r="B19" s="18" t="s">
        <v>31</v>
      </c>
      <c r="C19" s="22" t="s">
        <v>28</v>
      </c>
      <c r="D19" s="65"/>
      <c r="E19" s="65"/>
      <c r="F19" s="65"/>
      <c r="G19" s="66"/>
      <c r="H19" s="40"/>
      <c r="I19" s="28"/>
      <c r="J19" s="28"/>
    </row>
    <row r="20" spans="1:10" ht="5.25" customHeight="1">
      <c r="A20" s="16"/>
      <c r="B20" s="19"/>
      <c r="C20" s="20"/>
      <c r="D20" s="67"/>
      <c r="E20" s="67"/>
      <c r="F20" s="67"/>
      <c r="G20" s="67"/>
      <c r="H20" s="40"/>
      <c r="I20" s="28"/>
      <c r="J20" s="28"/>
    </row>
    <row r="21" spans="1:10" ht="19.5" customHeight="1">
      <c r="A21" s="9"/>
      <c r="B21" s="68" t="s">
        <v>3</v>
      </c>
      <c r="C21" s="69">
        <f>+E9</f>
        <v>40950</v>
      </c>
      <c r="D21" s="236" t="str">
        <f>+B21</f>
        <v>Kredit poslovne banke:</v>
      </c>
      <c r="E21" s="237"/>
      <c r="F21" s="70">
        <f>+C32</f>
        <v>40950</v>
      </c>
      <c r="G21" s="71"/>
      <c r="H21" s="40"/>
      <c r="I21" s="28"/>
      <c r="J21" s="72"/>
    </row>
    <row r="22" spans="2:10" ht="15" customHeight="1" hidden="1">
      <c r="B22" s="36"/>
      <c r="C22" s="73"/>
      <c r="D22" s="221" t="s">
        <v>4</v>
      </c>
      <c r="E22" s="246"/>
      <c r="F22" s="75">
        <v>0</v>
      </c>
      <c r="G22" s="40"/>
      <c r="H22" s="40"/>
      <c r="I22" s="28"/>
      <c r="J22" s="28"/>
    </row>
    <row r="23" spans="2:10" ht="15" customHeight="1" hidden="1">
      <c r="B23" s="36" t="s">
        <v>5</v>
      </c>
      <c r="C23" s="76">
        <f>+C21-C22</f>
        <v>40950</v>
      </c>
      <c r="D23" s="221" t="s">
        <v>5</v>
      </c>
      <c r="E23" s="246"/>
      <c r="F23" s="76">
        <f>+F21-F22</f>
        <v>40950</v>
      </c>
      <c r="G23" s="77"/>
      <c r="H23" s="40"/>
      <c r="I23" s="28"/>
      <c r="J23" s="28"/>
    </row>
    <row r="24" spans="1:10" ht="20.25" customHeight="1">
      <c r="A24" s="10"/>
      <c r="B24" s="74" t="s">
        <v>44</v>
      </c>
      <c r="C24" s="78">
        <f>C70</f>
        <v>0</v>
      </c>
      <c r="D24" s="238" t="s">
        <v>6</v>
      </c>
      <c r="E24" s="222"/>
      <c r="F24" s="79">
        <f>IF($C$19=$C$67,F25,F26)</f>
        <v>0.0245</v>
      </c>
      <c r="G24" s="80"/>
      <c r="H24" s="40"/>
      <c r="I24" s="28"/>
      <c r="J24" s="28"/>
    </row>
    <row r="25" spans="1:10" ht="20.25" customHeight="1" hidden="1">
      <c r="A25" s="10"/>
      <c r="B25" s="74" t="s">
        <v>34</v>
      </c>
      <c r="C25" s="81">
        <f>IF($C$18=B69,C69,IF($C$18=$B$70,C70,#REF!))</f>
        <v>0</v>
      </c>
      <c r="D25" s="238" t="s">
        <v>36</v>
      </c>
      <c r="E25" s="222"/>
      <c r="F25" s="82">
        <f>IF($C$18=$B$69,D69,IF($C$18=$B$70,D70,#REF!))</f>
        <v>0.0245</v>
      </c>
      <c r="G25" s="80"/>
      <c r="H25" s="40"/>
      <c r="I25" s="28"/>
      <c r="J25" s="28"/>
    </row>
    <row r="26" spans="1:10" ht="20.25" customHeight="1" hidden="1">
      <c r="A26" s="10"/>
      <c r="B26" s="74" t="s">
        <v>35</v>
      </c>
      <c r="C26" s="81" t="e">
        <f>IF($C$18=B69,#REF!,IF($C$18=$B$70,#REF!,#REF!))</f>
        <v>#REF!</v>
      </c>
      <c r="D26" s="238" t="s">
        <v>37</v>
      </c>
      <c r="E26" s="222"/>
      <c r="F26" s="82" t="e">
        <f>IF($C$18=$B$69,#REF!,IF($C$18=$B$70,#REF!,#REF!))</f>
        <v>#REF!</v>
      </c>
      <c r="G26" s="80"/>
      <c r="H26" s="40"/>
      <c r="I26" s="28"/>
      <c r="J26" s="28"/>
    </row>
    <row r="27" spans="2:10" ht="14.25" hidden="1">
      <c r="B27" s="36" t="s">
        <v>7</v>
      </c>
      <c r="C27" s="83">
        <f>+C23</f>
        <v>40950</v>
      </c>
      <c r="D27" s="84"/>
      <c r="E27" s="85"/>
      <c r="F27" s="86">
        <f>+F23</f>
        <v>40950</v>
      </c>
      <c r="G27" s="77"/>
      <c r="H27" s="40"/>
      <c r="I27" s="28"/>
      <c r="J27" s="28"/>
    </row>
    <row r="28" spans="1:10" ht="19.5" customHeight="1">
      <c r="A28" s="10"/>
      <c r="B28" s="74" t="s">
        <v>8</v>
      </c>
      <c r="C28" s="87">
        <v>0</v>
      </c>
      <c r="D28" s="238" t="s">
        <v>9</v>
      </c>
      <c r="E28" s="222"/>
      <c r="F28" s="88">
        <f>I76</f>
        <v>188</v>
      </c>
      <c r="G28" s="89" t="str">
        <f>FLOOR(F28/12,1)&amp;" godina"&amp;" i "&amp;F28-(FLOOR(F28/12,1)*12)&amp;" mjeseci"</f>
        <v>15 godina i 8 mjeseci</v>
      </c>
      <c r="H28" s="28"/>
      <c r="I28" s="28"/>
      <c r="J28" s="72"/>
    </row>
    <row r="29" spans="1:10" ht="19.5" customHeight="1" hidden="1">
      <c r="A29" s="10"/>
      <c r="B29" s="36" t="s">
        <v>32</v>
      </c>
      <c r="C29" s="90">
        <f>+(C27*C25*C28)/100</f>
        <v>0</v>
      </c>
      <c r="D29" s="91"/>
      <c r="E29" s="91" t="s">
        <v>28</v>
      </c>
      <c r="F29" s="92">
        <f>($F$25/12)*POWER((($F$25/12)+1),D31)/(POWER((($F$25/12)+1),D31)-1)*$F$27</f>
        <v>262.50954434768505</v>
      </c>
      <c r="G29" s="89"/>
      <c r="H29" s="28"/>
      <c r="I29" s="28"/>
      <c r="J29" s="72"/>
    </row>
    <row r="30" spans="1:10" ht="19.5" customHeight="1" hidden="1">
      <c r="A30" s="10"/>
      <c r="B30" s="36" t="s">
        <v>33</v>
      </c>
      <c r="C30" s="90" t="e">
        <f>+(C27*C26*C28)/100</f>
        <v>#REF!</v>
      </c>
      <c r="D30" s="91"/>
      <c r="E30" s="91" t="s">
        <v>29</v>
      </c>
      <c r="F30" s="92" t="e">
        <f>($F$26/12)*POWER((($F$26/12)+1),D31)/(POWER((($F$26/12)+1),D31)-1)*$F$27</f>
        <v>#REF!</v>
      </c>
      <c r="G30" s="89"/>
      <c r="H30" s="28"/>
      <c r="I30" s="28"/>
      <c r="J30" s="72"/>
    </row>
    <row r="31" spans="2:9" ht="19.5" customHeight="1">
      <c r="B31" s="36" t="s">
        <v>42</v>
      </c>
      <c r="C31" s="90">
        <f>IF($C$19=$C$67,C29,C30)</f>
        <v>0</v>
      </c>
      <c r="D31" s="229">
        <f>+F28</f>
        <v>188</v>
      </c>
      <c r="E31" s="230"/>
      <c r="F31" s="92">
        <f>IF($C$19=$C$67,F29,F30)</f>
        <v>262.50954434768505</v>
      </c>
      <c r="G31" s="43"/>
      <c r="H31" s="40"/>
      <c r="I31" s="93"/>
    </row>
    <row r="32" spans="2:12" ht="15" customHeight="1">
      <c r="B32" s="36" t="s">
        <v>10</v>
      </c>
      <c r="C32" s="94">
        <f>+C31+C27</f>
        <v>40950</v>
      </c>
      <c r="D32" s="231" t="s">
        <v>11</v>
      </c>
      <c r="E32" s="232"/>
      <c r="F32" s="95">
        <f>+F31*D31</f>
        <v>49351.79433736479</v>
      </c>
      <c r="G32" s="96"/>
      <c r="H32" s="96"/>
      <c r="I32" s="28"/>
      <c r="J32" s="97"/>
      <c r="K32" s="153"/>
      <c r="L32" s="153"/>
    </row>
    <row r="33" spans="1:10" ht="21.75" customHeight="1">
      <c r="A33" s="8"/>
      <c r="B33" s="233" t="s">
        <v>48</v>
      </c>
      <c r="C33" s="234"/>
      <c r="D33" s="234"/>
      <c r="E33" s="234"/>
      <c r="F33" s="234"/>
      <c r="G33" s="235"/>
      <c r="H33" s="40"/>
      <c r="I33" s="28"/>
      <c r="J33" s="28"/>
    </row>
    <row r="34" spans="1:10" ht="19.5" customHeight="1">
      <c r="A34" s="9"/>
      <c r="B34" s="98" t="s">
        <v>12</v>
      </c>
      <c r="C34" s="99">
        <f>+E11+E12</f>
        <v>33637.5</v>
      </c>
      <c r="D34" s="236" t="str">
        <f>+B34</f>
        <v>Glavnica za obračun:</v>
      </c>
      <c r="E34" s="237"/>
      <c r="F34" s="90">
        <f>+C41</f>
        <v>39312.008529676306</v>
      </c>
      <c r="G34" s="100"/>
      <c r="H34" s="101"/>
      <c r="I34" s="28"/>
      <c r="J34" s="97"/>
    </row>
    <row r="35" spans="2:10" ht="15" customHeight="1" hidden="1">
      <c r="B35" s="36" t="s">
        <v>4</v>
      </c>
      <c r="C35" s="95">
        <v>0</v>
      </c>
      <c r="D35" s="84"/>
      <c r="E35" s="84"/>
      <c r="F35" s="75">
        <v>0</v>
      </c>
      <c r="G35" s="28"/>
      <c r="H35" s="102">
        <f>+F35/$E$4</f>
        <v>0</v>
      </c>
      <c r="I35" s="28"/>
      <c r="J35" s="28"/>
    </row>
    <row r="36" spans="2:10" ht="15" customHeight="1" hidden="1">
      <c r="B36" s="36" t="s">
        <v>5</v>
      </c>
      <c r="C36" s="76">
        <f>+C34-C35</f>
        <v>33637.5</v>
      </c>
      <c r="D36" s="84"/>
      <c r="E36" s="84"/>
      <c r="F36" s="76">
        <f>+F34-F35</f>
        <v>39312.008529676306</v>
      </c>
      <c r="G36" s="28"/>
      <c r="H36" s="102">
        <f>+F36/$E$4</f>
        <v>604.8001312257893</v>
      </c>
      <c r="I36" s="28"/>
      <c r="J36" s="28"/>
    </row>
    <row r="37" spans="1:10" ht="19.5" customHeight="1">
      <c r="A37" s="10"/>
      <c r="B37" s="74" t="s">
        <v>13</v>
      </c>
      <c r="C37" s="103">
        <v>1</v>
      </c>
      <c r="D37" s="238" t="s">
        <v>6</v>
      </c>
      <c r="E37" s="222"/>
      <c r="F37" s="104">
        <v>0.02</v>
      </c>
      <c r="G37" s="105"/>
      <c r="H37" s="101"/>
      <c r="I37" s="28"/>
      <c r="J37" s="28"/>
    </row>
    <row r="38" spans="2:10" ht="15" customHeight="1" hidden="1">
      <c r="B38" s="36" t="s">
        <v>7</v>
      </c>
      <c r="C38" s="95">
        <f>+C36</f>
        <v>33637.5</v>
      </c>
      <c r="D38" s="84"/>
      <c r="E38" s="85"/>
      <c r="F38" s="86">
        <f>+F36</f>
        <v>39312.008529676306</v>
      </c>
      <c r="G38" s="96"/>
      <c r="H38" s="101"/>
      <c r="I38" s="28"/>
      <c r="J38" s="28"/>
    </row>
    <row r="39" spans="2:10" ht="19.5" customHeight="1">
      <c r="B39" s="36" t="s">
        <v>14</v>
      </c>
      <c r="C39" s="142">
        <f>C28*12+F28</f>
        <v>188</v>
      </c>
      <c r="D39" s="221" t="s">
        <v>9</v>
      </c>
      <c r="E39" s="222"/>
      <c r="F39" s="106">
        <f>F50-F28</f>
        <v>172</v>
      </c>
      <c r="G39" s="89" t="str">
        <f>FLOOR(F39/12,1)&amp;" godina"&amp;" i "&amp;F39-(FLOOR(F39/12,1)*12)&amp;" mjeseci"</f>
        <v>14 godina i 4 mjeseci</v>
      </c>
      <c r="H39" s="101"/>
      <c r="I39" s="28"/>
      <c r="J39" s="28"/>
    </row>
    <row r="40" spans="2:10" ht="19.5" customHeight="1">
      <c r="B40" s="36" t="s">
        <v>42</v>
      </c>
      <c r="C40" s="75">
        <f>((POWER((1+C37/100),(C39/12))-1)*C38)</f>
        <v>5674.508529676304</v>
      </c>
      <c r="D40" s="229">
        <f>+F39</f>
        <v>172</v>
      </c>
      <c r="E40" s="230"/>
      <c r="F40" s="107">
        <f>($F$37/12)*POWER((($F$37/12)+1),D40)/(POWER((($F$37/12)+1),D40)-1)*$F$38</f>
        <v>263.07037175488085</v>
      </c>
      <c r="G40" s="43"/>
      <c r="H40" s="108"/>
      <c r="I40" s="93"/>
      <c r="J40" s="28"/>
    </row>
    <row r="41" spans="2:10" ht="15" customHeight="1">
      <c r="B41" s="36" t="s">
        <v>10</v>
      </c>
      <c r="C41" s="75">
        <f>+C40+C38</f>
        <v>39312.008529676306</v>
      </c>
      <c r="D41" s="231" t="s">
        <v>11</v>
      </c>
      <c r="E41" s="232"/>
      <c r="F41" s="95">
        <f>+F40*D40</f>
        <v>45248.10394183951</v>
      </c>
      <c r="G41" s="77"/>
      <c r="H41" s="77"/>
      <c r="I41" s="28"/>
      <c r="J41" s="28"/>
    </row>
    <row r="42" spans="2:10" ht="15" customHeight="1" hidden="1">
      <c r="B42" s="36"/>
      <c r="C42" s="75"/>
      <c r="D42" s="179"/>
      <c r="E42" s="180"/>
      <c r="F42" s="95"/>
      <c r="G42" s="77"/>
      <c r="H42" s="77"/>
      <c r="I42" s="28"/>
      <c r="J42" s="28"/>
    </row>
    <row r="43" spans="2:10" ht="38.25" customHeight="1" hidden="1">
      <c r="B43" s="36"/>
      <c r="C43" s="75"/>
      <c r="D43" s="179"/>
      <c r="E43" s="180" t="s">
        <v>56</v>
      </c>
      <c r="F43" s="95">
        <f>E6*0.25%</f>
        <v>219.375</v>
      </c>
      <c r="G43" s="77"/>
      <c r="H43" s="77"/>
      <c r="I43" s="28"/>
      <c r="J43" s="28"/>
    </row>
    <row r="44" spans="2:10" ht="15" customHeight="1">
      <c r="B44" s="36"/>
      <c r="C44" s="75"/>
      <c r="D44" s="179"/>
      <c r="E44" s="180"/>
      <c r="F44" s="95"/>
      <c r="G44" s="77"/>
      <c r="H44" s="77"/>
      <c r="I44" s="28"/>
      <c r="J44" s="28"/>
    </row>
    <row r="45" spans="2:10" ht="15" customHeight="1" hidden="1">
      <c r="B45" s="36"/>
      <c r="C45" s="77"/>
      <c r="D45" s="109"/>
      <c r="E45" s="85"/>
      <c r="F45" s="77"/>
      <c r="G45" s="40"/>
      <c r="H45" s="40"/>
      <c r="I45" s="28"/>
      <c r="J45" s="28"/>
    </row>
    <row r="46" spans="2:12" ht="15" customHeight="1">
      <c r="B46" s="36" t="s">
        <v>15</v>
      </c>
      <c r="C46" s="75">
        <f>+E13</f>
        <v>87750</v>
      </c>
      <c r="D46" s="196" t="s">
        <v>57</v>
      </c>
      <c r="E46" s="197"/>
      <c r="F46" s="200" t="str">
        <f>IF(F43&lt;F40,("OK!"),("SMANJI BROJ GODINA!"))</f>
        <v>OK!</v>
      </c>
      <c r="G46" s="201"/>
      <c r="H46" s="40"/>
      <c r="I46" s="28"/>
      <c r="J46" s="28"/>
      <c r="L46" s="154"/>
    </row>
    <row r="47" spans="2:10" ht="15" customHeight="1">
      <c r="B47" s="36" t="s">
        <v>16</v>
      </c>
      <c r="C47" s="75">
        <f>+C49-C46</f>
        <v>20012.398279204295</v>
      </c>
      <c r="D47" s="198"/>
      <c r="E47" s="199"/>
      <c r="F47" s="202"/>
      <c r="G47" s="203"/>
      <c r="H47" s="40"/>
      <c r="I47" s="28"/>
      <c r="J47" s="28"/>
    </row>
    <row r="48" spans="2:10" ht="15" customHeight="1">
      <c r="B48" s="36" t="s">
        <v>62</v>
      </c>
      <c r="C48" s="75">
        <f>C49-E8</f>
        <v>94599.8982792043</v>
      </c>
      <c r="D48" s="98"/>
      <c r="E48" s="185"/>
      <c r="F48" s="186"/>
      <c r="G48" s="184"/>
      <c r="H48" s="40"/>
      <c r="I48" s="28"/>
      <c r="J48" s="28"/>
    </row>
    <row r="49" spans="2:10" ht="15" customHeight="1">
      <c r="B49" s="36" t="s">
        <v>17</v>
      </c>
      <c r="C49" s="75">
        <f>+E8+F32+F41</f>
        <v>107762.3982792043</v>
      </c>
      <c r="D49" s="221" t="s">
        <v>18</v>
      </c>
      <c r="E49" s="222"/>
      <c r="F49" s="110">
        <v>30</v>
      </c>
      <c r="G49" s="111"/>
      <c r="H49" s="40"/>
      <c r="I49" s="28"/>
      <c r="J49" s="28"/>
    </row>
    <row r="50" spans="2:10" ht="15" customHeight="1">
      <c r="B50" s="36" t="s">
        <v>43</v>
      </c>
      <c r="C50" s="143">
        <f>+C47/E6</f>
        <v>0.228061518851331</v>
      </c>
      <c r="D50" s="221" t="s">
        <v>19</v>
      </c>
      <c r="E50" s="222"/>
      <c r="F50" s="112">
        <f>F49*12</f>
        <v>360</v>
      </c>
      <c r="G50" s="113"/>
      <c r="H50" s="40"/>
      <c r="I50" s="28"/>
      <c r="J50" s="28"/>
    </row>
    <row r="51" spans="2:10" ht="15" customHeight="1">
      <c r="B51" s="36"/>
      <c r="C51" s="143"/>
      <c r="D51" s="74"/>
      <c r="E51" s="91"/>
      <c r="F51" s="114"/>
      <c r="G51" s="113"/>
      <c r="H51" s="40"/>
      <c r="I51" s="28"/>
      <c r="J51" s="28"/>
    </row>
    <row r="52" spans="1:10" ht="21.75" customHeight="1">
      <c r="A52" s="8"/>
      <c r="B52" s="233" t="s">
        <v>50</v>
      </c>
      <c r="C52" s="234"/>
      <c r="D52" s="234"/>
      <c r="E52" s="234"/>
      <c r="F52" s="234"/>
      <c r="G52" s="235"/>
      <c r="H52" s="40"/>
      <c r="I52" s="28"/>
      <c r="J52" s="28"/>
    </row>
    <row r="53" spans="2:10" ht="19.5" customHeight="1" hidden="1">
      <c r="B53" s="226" t="s">
        <v>39</v>
      </c>
      <c r="C53" s="227"/>
      <c r="D53" s="228"/>
      <c r="E53" s="115"/>
      <c r="F53" s="116"/>
      <c r="G53" s="117"/>
      <c r="H53" s="28"/>
      <c r="I53" s="28"/>
      <c r="J53" s="28"/>
    </row>
    <row r="54" spans="2:10" ht="19.5" customHeight="1" hidden="1">
      <c r="B54" s="140" t="s">
        <v>41</v>
      </c>
      <c r="C54" s="144">
        <f>E6-E8</f>
        <v>74587.5</v>
      </c>
      <c r="D54" s="223" t="str">
        <f>+B54</f>
        <v>Kredit Banke i APN-a:</v>
      </c>
      <c r="E54" s="225"/>
      <c r="F54" s="118">
        <f>+C63</f>
        <v>74947.5</v>
      </c>
      <c r="G54" s="119"/>
      <c r="H54" s="28"/>
      <c r="I54" s="28"/>
      <c r="J54" s="28"/>
    </row>
    <row r="55" spans="2:10" ht="19.5" customHeight="1" hidden="1">
      <c r="B55" s="139"/>
      <c r="C55" s="115"/>
      <c r="D55" s="138" t="s">
        <v>4</v>
      </c>
      <c r="E55" s="138"/>
      <c r="F55" s="118">
        <v>0</v>
      </c>
      <c r="G55" s="119"/>
      <c r="H55" s="28"/>
      <c r="I55" s="28"/>
      <c r="J55" s="28"/>
    </row>
    <row r="56" spans="2:10" ht="19.5" customHeight="1" hidden="1">
      <c r="B56" s="138" t="s">
        <v>5</v>
      </c>
      <c r="C56" s="118">
        <f>+C54-C55</f>
        <v>74587.5</v>
      </c>
      <c r="D56" s="138" t="s">
        <v>5</v>
      </c>
      <c r="E56" s="138"/>
      <c r="F56" s="120">
        <f>+F54-F55</f>
        <v>74947.5</v>
      </c>
      <c r="G56" s="119"/>
      <c r="H56" s="28"/>
      <c r="I56" s="28"/>
      <c r="J56" s="28"/>
    </row>
    <row r="57" spans="2:10" ht="19.5" customHeight="1">
      <c r="B57" s="138"/>
      <c r="C57" s="120"/>
      <c r="D57" s="138"/>
      <c r="E57" s="140"/>
      <c r="F57" s="160"/>
      <c r="G57" s="161"/>
      <c r="H57" s="162"/>
      <c r="I57" s="162"/>
      <c r="J57" s="163"/>
    </row>
    <row r="58" spans="2:10" ht="19.5" customHeight="1">
      <c r="B58" s="140" t="s">
        <v>51</v>
      </c>
      <c r="C58" s="165">
        <f>E6-C15</f>
        <v>74587.5</v>
      </c>
      <c r="D58" s="223" t="s">
        <v>49</v>
      </c>
      <c r="E58" s="224"/>
      <c r="F58" s="156">
        <f>RATE(F50,-F62,C58)*12</f>
        <v>0.016491910470846603</v>
      </c>
      <c r="G58" s="212"/>
      <c r="H58" s="213"/>
      <c r="I58" s="213"/>
      <c r="J58" s="214"/>
    </row>
    <row r="59" spans="2:10" ht="19.5" customHeight="1" hidden="1">
      <c r="B59" s="140" t="s">
        <v>7</v>
      </c>
      <c r="C59" s="166">
        <f>+C56</f>
        <v>74587.5</v>
      </c>
      <c r="D59" s="164"/>
      <c r="E59" s="141"/>
      <c r="F59" s="157">
        <f>+F56</f>
        <v>74947.5</v>
      </c>
      <c r="G59" s="215"/>
      <c r="H59" s="216"/>
      <c r="I59" s="216"/>
      <c r="J59" s="217"/>
    </row>
    <row r="60" spans="2:10" ht="19.5" customHeight="1" hidden="1">
      <c r="B60" s="140"/>
      <c r="C60" s="166">
        <f>C21</f>
        <v>40950</v>
      </c>
      <c r="D60" s="164"/>
      <c r="E60" s="141"/>
      <c r="F60" s="157"/>
      <c r="G60" s="215"/>
      <c r="H60" s="216"/>
      <c r="I60" s="216"/>
      <c r="J60" s="217"/>
    </row>
    <row r="61" spans="2:10" ht="19.5" customHeight="1" hidden="1">
      <c r="B61" s="140" t="s">
        <v>20</v>
      </c>
      <c r="C61" s="167">
        <f>+C28</f>
        <v>0</v>
      </c>
      <c r="D61" s="223" t="s">
        <v>21</v>
      </c>
      <c r="E61" s="224"/>
      <c r="F61" s="158">
        <f>F49</f>
        <v>30</v>
      </c>
      <c r="G61" s="218"/>
      <c r="H61" s="219"/>
      <c r="I61" s="219"/>
      <c r="J61" s="220"/>
    </row>
    <row r="62" spans="2:11" ht="19.5" customHeight="1">
      <c r="B62" s="140" t="s">
        <v>19</v>
      </c>
      <c r="C62" s="168">
        <f>F50</f>
        <v>360</v>
      </c>
      <c r="D62" s="209">
        <f>+F61*12</f>
        <v>360</v>
      </c>
      <c r="E62" s="210"/>
      <c r="F62" s="159">
        <f>(F31+F40)/2</f>
        <v>262.78995805128295</v>
      </c>
      <c r="G62" s="181">
        <f>F62*7.65</f>
        <v>2010.3431790923146</v>
      </c>
      <c r="H62" s="28"/>
      <c r="I62" s="155"/>
      <c r="J62" s="28"/>
      <c r="K62" s="153"/>
    </row>
    <row r="63" spans="2:10" ht="19.5" customHeight="1" hidden="1">
      <c r="B63" s="138" t="s">
        <v>10</v>
      </c>
      <c r="C63" s="121">
        <f>+C62+C59</f>
        <v>74947.5</v>
      </c>
      <c r="D63" s="211" t="s">
        <v>22</v>
      </c>
      <c r="E63" s="211"/>
      <c r="F63" s="121">
        <f>+F62*D62</f>
        <v>94604.38489846187</v>
      </c>
      <c r="G63" s="119"/>
      <c r="H63" s="28"/>
      <c r="I63" s="28"/>
      <c r="J63" s="28"/>
    </row>
    <row r="64" spans="2:10" ht="19.5" customHeight="1" hidden="1">
      <c r="B64" s="169"/>
      <c r="C64" s="170"/>
      <c r="D64" s="171"/>
      <c r="E64" s="171" t="s">
        <v>52</v>
      </c>
      <c r="F64" s="170">
        <f>C58/F50</f>
        <v>207.1875</v>
      </c>
      <c r="G64" s="125"/>
      <c r="H64" s="28"/>
      <c r="I64" s="28"/>
      <c r="J64" s="28"/>
    </row>
    <row r="65" spans="2:10" ht="15.75" customHeight="1" hidden="1">
      <c r="B65" s="122"/>
      <c r="C65" s="123"/>
      <c r="D65" s="124"/>
      <c r="E65" s="171" t="s">
        <v>53</v>
      </c>
      <c r="F65" s="174">
        <f>(F62-F64)</f>
        <v>55.60245805128295</v>
      </c>
      <c r="G65" s="125"/>
      <c r="H65" s="28"/>
      <c r="I65" s="28"/>
      <c r="J65" s="28"/>
    </row>
    <row r="66" spans="2:10" ht="15.75" customHeight="1">
      <c r="B66" s="126"/>
      <c r="C66" s="127"/>
      <c r="D66" s="128"/>
      <c r="E66" s="171" t="s">
        <v>55</v>
      </c>
      <c r="F66" s="173">
        <f>F65/F64</f>
        <v>0.2683678216653174</v>
      </c>
      <c r="G66" s="129"/>
      <c r="H66" s="28"/>
      <c r="I66" s="28"/>
      <c r="J66" s="28"/>
    </row>
    <row r="67" spans="2:10" ht="12.75">
      <c r="B67" s="60"/>
      <c r="C67" s="207" t="s">
        <v>28</v>
      </c>
      <c r="D67" s="208"/>
      <c r="E67" s="130"/>
      <c r="F67" s="172"/>
      <c r="G67" s="28"/>
      <c r="H67" s="28"/>
      <c r="I67" s="28"/>
      <c r="J67" s="28"/>
    </row>
    <row r="68" spans="2:10" ht="12.75">
      <c r="B68" s="131"/>
      <c r="C68" s="132" t="s">
        <v>26</v>
      </c>
      <c r="D68" s="132" t="s">
        <v>27</v>
      </c>
      <c r="E68" s="133"/>
      <c r="F68" s="28"/>
      <c r="G68" s="28"/>
      <c r="H68" s="28"/>
      <c r="I68" s="28"/>
      <c r="J68" s="28"/>
    </row>
    <row r="69" spans="2:10" ht="15.75" hidden="1">
      <c r="B69" s="134"/>
      <c r="C69" s="23">
        <v>5.5</v>
      </c>
      <c r="D69" s="24">
        <v>0.055</v>
      </c>
      <c r="E69" s="133"/>
      <c r="F69" s="28"/>
      <c r="G69" s="28"/>
      <c r="H69" s="28"/>
      <c r="I69" s="28"/>
      <c r="J69" s="28"/>
    </row>
    <row r="70" spans="2:10" ht="15.75">
      <c r="B70" s="134" t="s">
        <v>40</v>
      </c>
      <c r="C70" s="25"/>
      <c r="D70" s="26">
        <v>0.0245</v>
      </c>
      <c r="E70" s="133"/>
      <c r="F70" s="28"/>
      <c r="G70" s="28"/>
      <c r="H70" s="28"/>
      <c r="I70" s="28"/>
      <c r="J70" s="28"/>
    </row>
    <row r="71" spans="2:10" ht="13.5" customHeight="1">
      <c r="B71" s="28"/>
      <c r="C71" s="37"/>
      <c r="D71" s="37"/>
      <c r="E71" s="37"/>
      <c r="F71" s="37"/>
      <c r="G71" s="130"/>
      <c r="H71" s="28"/>
      <c r="I71" s="28"/>
      <c r="J71" s="28"/>
    </row>
    <row r="72" spans="2:10" ht="19.5" customHeight="1">
      <c r="B72" s="135"/>
      <c r="C72" s="204">
        <f>+F50</f>
        <v>360</v>
      </c>
      <c r="D72" s="205"/>
      <c r="E72" s="206"/>
      <c r="F72" s="136">
        <f>(F40+F29)/2</f>
        <v>262.78995805128295</v>
      </c>
      <c r="G72" s="28"/>
      <c r="H72" s="28"/>
      <c r="I72" s="28"/>
      <c r="J72" s="28"/>
    </row>
    <row r="73" spans="2:10" ht="19.5" customHeight="1">
      <c r="B73" s="135"/>
      <c r="C73" s="204" t="s">
        <v>38</v>
      </c>
      <c r="D73" s="205"/>
      <c r="E73" s="206"/>
      <c r="F73" s="137">
        <f>+F58</f>
        <v>0.016491910470846603</v>
      </c>
      <c r="G73" s="28"/>
      <c r="H73" s="28"/>
      <c r="I73" s="28"/>
      <c r="J73" s="28"/>
    </row>
    <row r="74" spans="2:8" ht="12.75">
      <c r="B74" s="189"/>
      <c r="C74" s="190"/>
      <c r="D74" s="190"/>
      <c r="E74" s="190"/>
      <c r="F74" s="188"/>
      <c r="G74" s="1"/>
      <c r="H74" s="1"/>
    </row>
    <row r="75" spans="2:8" ht="12.75" customHeight="1" hidden="1">
      <c r="B75" s="191"/>
      <c r="C75" s="191"/>
      <c r="D75" s="191"/>
      <c r="E75" s="191"/>
      <c r="G75" s="7"/>
      <c r="H75" s="1"/>
    </row>
    <row r="76" spans="2:9" ht="12.75" customHeight="1" hidden="1">
      <c r="B76" s="191"/>
      <c r="C76" s="191"/>
      <c r="D76" s="191"/>
      <c r="E76" s="191"/>
      <c r="G76" s="1"/>
      <c r="H76" s="1"/>
      <c r="I76" s="1">
        <f>MAX(I77:I434)</f>
        <v>188</v>
      </c>
    </row>
    <row r="77" spans="2:9" ht="12.75" customHeight="1" hidden="1">
      <c r="B77" s="191">
        <v>1</v>
      </c>
      <c r="C77" s="21">
        <f aca="true" t="shared" si="0" ref="C77:C140">($F$25/12)*POWER((($F$25/12)+1),B77)/(POWER((($F$25/12)+1),B77)-1)*$F$27</f>
        <v>41033.60624999895</v>
      </c>
      <c r="D77" s="14">
        <f>IF($F$50-B77=0,1,$F$50-B77)</f>
        <v>359</v>
      </c>
      <c r="E77" s="15">
        <f>(2%/12)*POWER(((2%/12)+1),D77)/(POWER(((2%/12)+1),D77)-1)*(($E$11+$E$12)+((POWER((1+1/100),(($C$28*12+B77)/12))-1)*($E$11+$E$12)))</f>
        <v>124.68694287101276</v>
      </c>
      <c r="F77" s="11">
        <f aca="true" t="shared" si="1" ref="F77:F140">C77-E77</f>
        <v>40908.91930712794</v>
      </c>
      <c r="G77" s="12">
        <f>F77*F77</f>
        <v>1673539678.877105</v>
      </c>
      <c r="H77" s="13">
        <f>MIN($G$77:$G$434)</f>
        <v>0.31452738066196606</v>
      </c>
      <c r="I77" s="12">
        <f>IF(G77=H77,B77,0)</f>
        <v>0</v>
      </c>
    </row>
    <row r="78" spans="2:9" ht="12.75" customHeight="1" hidden="1">
      <c r="B78" s="191">
        <v>2</v>
      </c>
      <c r="C78" s="21">
        <f t="shared" si="0"/>
        <v>20537.726002751577</v>
      </c>
      <c r="D78" s="14">
        <f aca="true" t="shared" si="2" ref="D78:D141">IF($F$50-B78=0,1,$F$50-B78)</f>
        <v>358</v>
      </c>
      <c r="E78" s="15">
        <f aca="true" t="shared" si="3" ref="E78:E141">(2%/12)*POWER(((2%/12)+1),D78)/(POWER(((2%/12)+1),D78)-1)*(($E$11+$E$12)+((POWER((1+1/100),(($C$28*12+B78)/12))-1)*($E$11+$E$12)))</f>
        <v>125.04509791479363</v>
      </c>
      <c r="F78" s="11">
        <f t="shared" si="1"/>
        <v>20412.680904836783</v>
      </c>
      <c r="G78" s="12">
        <f aca="true" t="shared" si="4" ref="G78:G141">F78*F78</f>
        <v>416677541.72268826</v>
      </c>
      <c r="H78" s="13">
        <f aca="true" t="shared" si="5" ref="H78:H141">MIN($G$77:$G$434)</f>
        <v>0.31452738066196606</v>
      </c>
      <c r="I78" s="12">
        <f aca="true" t="shared" si="6" ref="I78:I141">IF(G78=H78,B78,0)</f>
        <v>0</v>
      </c>
    </row>
    <row r="79" spans="2:9" ht="12.75" customHeight="1" hidden="1">
      <c r="B79" s="191">
        <v>3</v>
      </c>
      <c r="C79" s="21">
        <f t="shared" si="0"/>
        <v>13705.775393768214</v>
      </c>
      <c r="D79" s="14">
        <f t="shared" si="2"/>
        <v>357</v>
      </c>
      <c r="E79" s="15">
        <f t="shared" si="3"/>
        <v>125.40523173746499</v>
      </c>
      <c r="F79" s="11">
        <f t="shared" si="1"/>
        <v>13580.37016203075</v>
      </c>
      <c r="G79" s="12">
        <f t="shared" si="4"/>
        <v>184426453.7377751</v>
      </c>
      <c r="H79" s="13">
        <f t="shared" si="5"/>
        <v>0.31452738066196606</v>
      </c>
      <c r="I79" s="12">
        <f t="shared" si="6"/>
        <v>0</v>
      </c>
    </row>
    <row r="80" spans="2:9" ht="12.75" customHeight="1" hidden="1">
      <c r="B80" s="191">
        <v>4</v>
      </c>
      <c r="C80" s="21">
        <f t="shared" si="0"/>
        <v>10289.807194336256</v>
      </c>
      <c r="D80" s="14">
        <f t="shared" si="2"/>
        <v>356</v>
      </c>
      <c r="E80" s="15">
        <f t="shared" si="3"/>
        <v>125.76736100464933</v>
      </c>
      <c r="F80" s="11">
        <f t="shared" si="1"/>
        <v>10164.039833331606</v>
      </c>
      <c r="G80" s="12">
        <f t="shared" si="4"/>
        <v>103307705.73355158</v>
      </c>
      <c r="H80" s="13">
        <f t="shared" si="5"/>
        <v>0.31452738066196606</v>
      </c>
      <c r="I80" s="12">
        <f t="shared" si="6"/>
        <v>0</v>
      </c>
    </row>
    <row r="81" spans="2:9" ht="12.75" customHeight="1" hidden="1">
      <c r="B81" s="191">
        <v>5</v>
      </c>
      <c r="C81" s="21">
        <f t="shared" si="0"/>
        <v>8240.231958708066</v>
      </c>
      <c r="D81" s="14">
        <f t="shared" si="2"/>
        <v>355</v>
      </c>
      <c r="E81" s="15">
        <f t="shared" si="3"/>
        <v>126.13150256977576</v>
      </c>
      <c r="F81" s="11">
        <f t="shared" si="1"/>
        <v>8114.10045613829</v>
      </c>
      <c r="G81" s="12">
        <f t="shared" si="4"/>
        <v>65838626.2123036</v>
      </c>
      <c r="H81" s="13">
        <f t="shared" si="5"/>
        <v>0.31452738066196606</v>
      </c>
      <c r="I81" s="12">
        <f t="shared" si="6"/>
        <v>0</v>
      </c>
    </row>
    <row r="82" spans="2:9" ht="12.75" customHeight="1" hidden="1">
      <c r="B82" s="191">
        <v>6</v>
      </c>
      <c r="C82" s="21">
        <f t="shared" si="0"/>
        <v>6873.853204964017</v>
      </c>
      <c r="D82" s="14">
        <f t="shared" si="2"/>
        <v>354</v>
      </c>
      <c r="E82" s="15">
        <f t="shared" si="3"/>
        <v>126.49767347673252</v>
      </c>
      <c r="F82" s="11">
        <f t="shared" si="1"/>
        <v>6747.355531487285</v>
      </c>
      <c r="G82" s="12">
        <f t="shared" si="4"/>
        <v>45526806.66829206</v>
      </c>
      <c r="H82" s="13">
        <f t="shared" si="5"/>
        <v>0.31452738066196606</v>
      </c>
      <c r="I82" s="12">
        <f t="shared" si="6"/>
        <v>0</v>
      </c>
    </row>
    <row r="83" spans="2:9" ht="12.75" customHeight="1" hidden="1">
      <c r="B83" s="191">
        <v>7</v>
      </c>
      <c r="C83" s="21">
        <f t="shared" si="0"/>
        <v>5897.872440849554</v>
      </c>
      <c r="D83" s="14">
        <f t="shared" si="2"/>
        <v>353</v>
      </c>
      <c r="E83" s="15">
        <f t="shared" si="3"/>
        <v>126.86589096256515</v>
      </c>
      <c r="F83" s="11">
        <f t="shared" si="1"/>
        <v>5771.006549886988</v>
      </c>
      <c r="G83" s="12">
        <f t="shared" si="4"/>
        <v>33304516.598838516</v>
      </c>
      <c r="H83" s="13">
        <f t="shared" si="5"/>
        <v>0.31452738066196606</v>
      </c>
      <c r="I83" s="12">
        <f t="shared" si="6"/>
        <v>0</v>
      </c>
    </row>
    <row r="84" spans="2:9" ht="12.75" customHeight="1" hidden="1">
      <c r="B84" s="191">
        <v>8</v>
      </c>
      <c r="C84" s="21">
        <f t="shared" si="0"/>
        <v>5165.890420234387</v>
      </c>
      <c r="D84" s="14">
        <f t="shared" si="2"/>
        <v>352</v>
      </c>
      <c r="E84" s="15">
        <f t="shared" si="3"/>
        <v>127.23617246021976</v>
      </c>
      <c r="F84" s="11">
        <f t="shared" si="1"/>
        <v>5038.654247774168</v>
      </c>
      <c r="G84" s="12">
        <f t="shared" si="4"/>
        <v>25388036.628612664</v>
      </c>
      <c r="H84" s="13">
        <f t="shared" si="5"/>
        <v>0.31452738066196606</v>
      </c>
      <c r="I84" s="12">
        <f t="shared" si="6"/>
        <v>0</v>
      </c>
    </row>
    <row r="85" spans="2:9" ht="12.75" customHeight="1" hidden="1">
      <c r="B85" s="191">
        <v>9</v>
      </c>
      <c r="C85" s="21">
        <f t="shared" si="0"/>
        <v>4596.5742285989845</v>
      </c>
      <c r="D85" s="14">
        <f t="shared" si="2"/>
        <v>351</v>
      </c>
      <c r="E85" s="15">
        <f t="shared" si="3"/>
        <v>127.60853560133407</v>
      </c>
      <c r="F85" s="11">
        <f t="shared" si="1"/>
        <v>4468.965692997651</v>
      </c>
      <c r="G85" s="12">
        <f t="shared" si="4"/>
        <v>19971654.365189973</v>
      </c>
      <c r="H85" s="13">
        <f t="shared" si="5"/>
        <v>0.31452738066196606</v>
      </c>
      <c r="I85" s="12">
        <f t="shared" si="6"/>
        <v>0</v>
      </c>
    </row>
    <row r="86" spans="2:9" ht="12.75" customHeight="1" hidden="1">
      <c r="B86" s="191">
        <v>10</v>
      </c>
      <c r="C86" s="21">
        <f t="shared" si="0"/>
        <v>4141.12411722934</v>
      </c>
      <c r="D86" s="14">
        <f t="shared" si="2"/>
        <v>350</v>
      </c>
      <c r="E86" s="15">
        <f t="shared" si="3"/>
        <v>127.98299821907548</v>
      </c>
      <c r="F86" s="11">
        <f t="shared" si="1"/>
        <v>4013.141119010265</v>
      </c>
      <c r="G86" s="12">
        <f t="shared" si="4"/>
        <v>16105301.641090961</v>
      </c>
      <c r="H86" s="13">
        <f t="shared" si="5"/>
        <v>0.31452738066196606</v>
      </c>
      <c r="I86" s="12">
        <f t="shared" si="6"/>
        <v>0</v>
      </c>
    </row>
    <row r="87" spans="2:9" ht="12.75" customHeight="1" hidden="1">
      <c r="B87" s="191">
        <v>11</v>
      </c>
      <c r="C87" s="21">
        <f t="shared" si="0"/>
        <v>3768.4857005779795</v>
      </c>
      <c r="D87" s="14">
        <f t="shared" si="2"/>
        <v>349</v>
      </c>
      <c r="E87" s="15">
        <f t="shared" si="3"/>
        <v>128.3595783510287</v>
      </c>
      <c r="F87" s="11">
        <f t="shared" si="1"/>
        <v>3640.126122226951</v>
      </c>
      <c r="G87" s="12">
        <f t="shared" si="4"/>
        <v>13250518.185719019</v>
      </c>
      <c r="H87" s="13">
        <f t="shared" si="5"/>
        <v>0.31452738066196606</v>
      </c>
      <c r="I87" s="12">
        <f t="shared" si="6"/>
        <v>0</v>
      </c>
    </row>
    <row r="88" spans="2:9" ht="12.75" customHeight="1" hidden="1">
      <c r="B88" s="191">
        <v>12</v>
      </c>
      <c r="C88" s="21">
        <f t="shared" si="0"/>
        <v>3457.9560549447147</v>
      </c>
      <c r="D88" s="14">
        <f t="shared" si="2"/>
        <v>348</v>
      </c>
      <c r="E88" s="15">
        <f t="shared" si="3"/>
        <v>128.7382942421325</v>
      </c>
      <c r="F88" s="11">
        <f t="shared" si="1"/>
        <v>3329.2177607025824</v>
      </c>
      <c r="G88" s="12">
        <f t="shared" si="4"/>
        <v>11083690.898177518</v>
      </c>
      <c r="H88" s="13">
        <f t="shared" si="5"/>
        <v>0.31452738066196606</v>
      </c>
      <c r="I88" s="12">
        <f t="shared" si="6"/>
        <v>0</v>
      </c>
    </row>
    <row r="89" spans="2:9" ht="12.75" customHeight="1" hidden="1">
      <c r="B89" s="191">
        <v>13</v>
      </c>
      <c r="C89" s="21">
        <f t="shared" si="0"/>
        <v>3195.2023869967143</v>
      </c>
      <c r="D89" s="14">
        <f t="shared" si="2"/>
        <v>347</v>
      </c>
      <c r="E89" s="15">
        <f t="shared" si="3"/>
        <v>129.11916434766783</v>
      </c>
      <c r="F89" s="11">
        <f t="shared" si="1"/>
        <v>3066.0832226490465</v>
      </c>
      <c r="G89" s="12">
        <f t="shared" si="4"/>
        <v>9400866.328209963</v>
      </c>
      <c r="H89" s="13">
        <f t="shared" si="5"/>
        <v>0.31452738066196606</v>
      </c>
      <c r="I89" s="12">
        <f t="shared" si="6"/>
        <v>0</v>
      </c>
    </row>
    <row r="90" spans="2:9" ht="12.75" customHeight="1" hidden="1">
      <c r="B90" s="191">
        <v>14</v>
      </c>
      <c r="C90" s="21">
        <f t="shared" si="0"/>
        <v>2969.9869872088752</v>
      </c>
      <c r="D90" s="14">
        <f t="shared" si="2"/>
        <v>346</v>
      </c>
      <c r="E90" s="15">
        <f t="shared" si="3"/>
        <v>129.50220733629723</v>
      </c>
      <c r="F90" s="11">
        <f t="shared" si="1"/>
        <v>2840.484779872578</v>
      </c>
      <c r="G90" s="12">
        <f t="shared" si="4"/>
        <v>8068353.784687769</v>
      </c>
      <c r="H90" s="13">
        <f t="shared" si="5"/>
        <v>0.31452738066196606</v>
      </c>
      <c r="I90" s="12">
        <f t="shared" si="6"/>
        <v>0</v>
      </c>
    </row>
    <row r="91" spans="2:9" ht="12.75" customHeight="1" hidden="1">
      <c r="B91" s="191">
        <v>15</v>
      </c>
      <c r="C91" s="21">
        <f t="shared" si="0"/>
        <v>2774.8022019279224</v>
      </c>
      <c r="D91" s="14">
        <f t="shared" si="2"/>
        <v>345</v>
      </c>
      <c r="E91" s="15">
        <f t="shared" si="3"/>
        <v>129.8874420931574</v>
      </c>
      <c r="F91" s="11">
        <f t="shared" si="1"/>
        <v>2644.914759834765</v>
      </c>
      <c r="G91" s="12">
        <f t="shared" si="4"/>
        <v>6995574.086791792</v>
      </c>
      <c r="H91" s="13">
        <f t="shared" si="5"/>
        <v>0.31452738066196606</v>
      </c>
      <c r="I91" s="12">
        <f t="shared" si="6"/>
        <v>0</v>
      </c>
    </row>
    <row r="92" spans="2:9" ht="12.75" customHeight="1" hidden="1">
      <c r="B92" s="191">
        <v>16</v>
      </c>
      <c r="C92" s="21">
        <f t="shared" si="0"/>
        <v>2604.017290912371</v>
      </c>
      <c r="D92" s="14">
        <f t="shared" si="2"/>
        <v>344</v>
      </c>
      <c r="E92" s="15">
        <f t="shared" si="3"/>
        <v>130.27488772300563</v>
      </c>
      <c r="F92" s="11">
        <f t="shared" si="1"/>
        <v>2473.7424031893656</v>
      </c>
      <c r="G92" s="12">
        <f t="shared" si="4"/>
        <v>6119401.477337098</v>
      </c>
      <c r="H92" s="13">
        <f t="shared" si="5"/>
        <v>0.31452738066196606</v>
      </c>
      <c r="I92" s="12">
        <f t="shared" si="6"/>
        <v>0</v>
      </c>
    </row>
    <row r="93" spans="2:9" ht="12.75" customHeight="1" hidden="1">
      <c r="B93" s="191">
        <v>17</v>
      </c>
      <c r="C93" s="21">
        <f t="shared" si="0"/>
        <v>2453.3263939761746</v>
      </c>
      <c r="D93" s="14">
        <f t="shared" si="2"/>
        <v>343</v>
      </c>
      <c r="E93" s="15">
        <f t="shared" si="3"/>
        <v>130.66456355342157</v>
      </c>
      <c r="F93" s="11">
        <f t="shared" si="1"/>
        <v>2322.661830422753</v>
      </c>
      <c r="G93" s="12">
        <f t="shared" si="4"/>
        <v>5394757.978502774</v>
      </c>
      <c r="H93" s="13">
        <f t="shared" si="5"/>
        <v>0.31452738066196606</v>
      </c>
      <c r="I93" s="12">
        <f t="shared" si="6"/>
        <v>0</v>
      </c>
    </row>
    <row r="94" spans="2:9" ht="12.75" customHeight="1" hidden="1">
      <c r="B94" s="191">
        <v>18</v>
      </c>
      <c r="C94" s="21">
        <f t="shared" si="0"/>
        <v>2319.3805087510877</v>
      </c>
      <c r="D94" s="14">
        <f t="shared" si="2"/>
        <v>342</v>
      </c>
      <c r="E94" s="15">
        <f t="shared" si="3"/>
        <v>131.05648913806436</v>
      </c>
      <c r="F94" s="11">
        <f t="shared" si="1"/>
        <v>2188.324019613023</v>
      </c>
      <c r="G94" s="12">
        <f t="shared" si="4"/>
        <v>4788762.014815299</v>
      </c>
      <c r="H94" s="13">
        <f t="shared" si="5"/>
        <v>0.31452738066196606</v>
      </c>
      <c r="I94" s="12">
        <f t="shared" si="6"/>
        <v>0</v>
      </c>
    </row>
    <row r="95" spans="2:9" ht="12.75" customHeight="1" hidden="1">
      <c r="B95" s="191">
        <v>19</v>
      </c>
      <c r="C95" s="21">
        <f t="shared" si="0"/>
        <v>2199.5356859978233</v>
      </c>
      <c r="D95" s="14">
        <f t="shared" si="2"/>
        <v>341</v>
      </c>
      <c r="E95" s="15">
        <f t="shared" si="3"/>
        <v>131.45068425998795</v>
      </c>
      <c r="F95" s="11">
        <f t="shared" si="1"/>
        <v>2068.0850017378352</v>
      </c>
      <c r="G95" s="12">
        <f t="shared" si="4"/>
        <v>4276975.574412982</v>
      </c>
      <c r="H95" s="13">
        <f t="shared" si="5"/>
        <v>0.31452738066196606</v>
      </c>
      <c r="I95" s="12">
        <f t="shared" si="6"/>
        <v>0</v>
      </c>
    </row>
    <row r="96" spans="2:9" ht="12.75" customHeight="1" hidden="1">
      <c r="B96" s="191">
        <v>20</v>
      </c>
      <c r="C96" s="21">
        <f t="shared" si="0"/>
        <v>2091.676766323728</v>
      </c>
      <c r="D96" s="14">
        <f t="shared" si="2"/>
        <v>340</v>
      </c>
      <c r="E96" s="15">
        <f t="shared" si="3"/>
        <v>131.84716893501468</v>
      </c>
      <c r="F96" s="11">
        <f t="shared" si="1"/>
        <v>1959.8295973887132</v>
      </c>
      <c r="G96" s="12">
        <f t="shared" si="4"/>
        <v>3840932.0508008054</v>
      </c>
      <c r="H96" s="13">
        <f t="shared" si="5"/>
        <v>0.31452738066196606</v>
      </c>
      <c r="I96" s="12">
        <f t="shared" si="6"/>
        <v>0</v>
      </c>
    </row>
    <row r="97" spans="2:9" ht="12.75" customHeight="1" hidden="1">
      <c r="B97" s="191">
        <v>21</v>
      </c>
      <c r="C97" s="21">
        <f t="shared" si="0"/>
        <v>1994.0914778384</v>
      </c>
      <c r="D97" s="14">
        <f t="shared" si="2"/>
        <v>339</v>
      </c>
      <c r="E97" s="15">
        <f t="shared" si="3"/>
        <v>132.2459634151681</v>
      </c>
      <c r="F97" s="11">
        <f t="shared" si="1"/>
        <v>1861.8455144232319</v>
      </c>
      <c r="G97" s="12">
        <f t="shared" si="4"/>
        <v>3466468.719577909</v>
      </c>
      <c r="H97" s="13">
        <f t="shared" si="5"/>
        <v>0.31452738066196606</v>
      </c>
      <c r="I97" s="12">
        <f t="shared" si="6"/>
        <v>0</v>
      </c>
    </row>
    <row r="98" spans="2:9" ht="12.75" customHeight="1" hidden="1">
      <c r="B98" s="191">
        <v>22</v>
      </c>
      <c r="C98" s="21">
        <f t="shared" si="0"/>
        <v>1905.3788708122363</v>
      </c>
      <c r="D98" s="14">
        <f t="shared" si="2"/>
        <v>338</v>
      </c>
      <c r="E98" s="15">
        <f t="shared" si="3"/>
        <v>132.6470881921673</v>
      </c>
      <c r="F98" s="11">
        <f t="shared" si="1"/>
        <v>1772.731782620069</v>
      </c>
      <c r="G98" s="12">
        <f t="shared" si="4"/>
        <v>3142577.9731113277</v>
      </c>
      <c r="H98" s="13">
        <f t="shared" si="5"/>
        <v>0.31452738066196606</v>
      </c>
      <c r="I98" s="12">
        <f t="shared" si="6"/>
        <v>0</v>
      </c>
    </row>
    <row r="99" spans="2:9" ht="12.75" customHeight="1" hidden="1">
      <c r="B99" s="191">
        <v>23</v>
      </c>
      <c r="C99" s="21">
        <f t="shared" si="0"/>
        <v>1824.3816389458752</v>
      </c>
      <c r="D99" s="14">
        <f t="shared" si="2"/>
        <v>337</v>
      </c>
      <c r="E99" s="15">
        <f t="shared" si="3"/>
        <v>133.05056400098331</v>
      </c>
      <c r="F99" s="11">
        <f t="shared" si="1"/>
        <v>1691.331074944892</v>
      </c>
      <c r="G99" s="12">
        <f t="shared" si="4"/>
        <v>2860600.805074244</v>
      </c>
      <c r="H99" s="13">
        <f t="shared" si="5"/>
        <v>0.31452738066196606</v>
      </c>
      <c r="I99" s="12">
        <f t="shared" si="6"/>
        <v>0</v>
      </c>
    </row>
    <row r="100" spans="2:9" ht="12.75" customHeight="1" hidden="1">
      <c r="B100" s="191">
        <v>24</v>
      </c>
      <c r="C100" s="21">
        <f t="shared" si="0"/>
        <v>1750.1353603221685</v>
      </c>
      <c r="D100" s="14">
        <f t="shared" si="2"/>
        <v>336</v>
      </c>
      <c r="E100" s="15">
        <f t="shared" si="3"/>
        <v>133.45641182345875</v>
      </c>
      <c r="F100" s="11">
        <f t="shared" si="1"/>
        <v>1616.6789484987098</v>
      </c>
      <c r="G100" s="12">
        <f t="shared" si="4"/>
        <v>2613650.822518894</v>
      </c>
      <c r="H100" s="13">
        <f t="shared" si="5"/>
        <v>0.31452738066196606</v>
      </c>
      <c r="I100" s="12">
        <f t="shared" si="6"/>
        <v>0</v>
      </c>
    </row>
    <row r="101" spans="2:9" ht="12.75" customHeight="1" hidden="1">
      <c r="B101" s="191">
        <v>25</v>
      </c>
      <c r="C101" s="21">
        <f t="shared" si="0"/>
        <v>1681.8299205297837</v>
      </c>
      <c r="D101" s="14">
        <f t="shared" si="2"/>
        <v>335</v>
      </c>
      <c r="E101" s="15">
        <f t="shared" si="3"/>
        <v>133.8646528919928</v>
      </c>
      <c r="F101" s="11">
        <f t="shared" si="1"/>
        <v>1547.965267637791</v>
      </c>
      <c r="G101" s="12">
        <f t="shared" si="4"/>
        <v>2396196.4698129375</v>
      </c>
      <c r="H101" s="13">
        <f t="shared" si="5"/>
        <v>0.31452738066196606</v>
      </c>
      <c r="I101" s="12">
        <f t="shared" si="6"/>
        <v>0</v>
      </c>
    </row>
    <row r="102" spans="2:9" ht="12.75" customHeight="1" hidden="1">
      <c r="B102" s="191">
        <v>26</v>
      </c>
      <c r="C102" s="21">
        <f t="shared" si="0"/>
        <v>1618.7798381428306</v>
      </c>
      <c r="D102" s="14">
        <f t="shared" si="2"/>
        <v>334</v>
      </c>
      <c r="E102" s="15">
        <f t="shared" si="3"/>
        <v>134.27530869329158</v>
      </c>
      <c r="F102" s="11">
        <f t="shared" si="1"/>
        <v>1484.504529449539</v>
      </c>
      <c r="G102" s="12">
        <f t="shared" si="4"/>
        <v>2203753.697956197</v>
      </c>
      <c r="H102" s="13">
        <f t="shared" si="5"/>
        <v>0.31452738066196606</v>
      </c>
      <c r="I102" s="12">
        <f t="shared" si="6"/>
        <v>0</v>
      </c>
    </row>
    <row r="103" spans="2:9" ht="12.75" customHeight="1" hidden="1">
      <c r="B103" s="191">
        <v>27</v>
      </c>
      <c r="C103" s="21">
        <f t="shared" si="0"/>
        <v>1560.4011845383739</v>
      </c>
      <c r="D103" s="14">
        <f t="shared" si="2"/>
        <v>333</v>
      </c>
      <c r="E103" s="15">
        <f t="shared" si="3"/>
        <v>134.6884009721871</v>
      </c>
      <c r="F103" s="11">
        <f t="shared" si="1"/>
        <v>1425.7127835661868</v>
      </c>
      <c r="G103" s="12">
        <f t="shared" si="4"/>
        <v>2032656.9412240444</v>
      </c>
      <c r="H103" s="13">
        <f t="shared" si="5"/>
        <v>0.31452738066196606</v>
      </c>
      <c r="I103" s="12">
        <f t="shared" si="6"/>
        <v>0</v>
      </c>
    </row>
    <row r="104" spans="2:9" ht="12.75" customHeight="1" hidden="1">
      <c r="B104" s="191">
        <v>28</v>
      </c>
      <c r="C104" s="21">
        <f t="shared" si="0"/>
        <v>1506.1934494673642</v>
      </c>
      <c r="D104" s="14">
        <f t="shared" si="2"/>
        <v>332</v>
      </c>
      <c r="E104" s="15">
        <f t="shared" si="3"/>
        <v>135.10395173552456</v>
      </c>
      <c r="F104" s="11">
        <f t="shared" si="1"/>
        <v>1371.0894977318396</v>
      </c>
      <c r="G104" s="12">
        <f t="shared" si="4"/>
        <v>1879886.4107905482</v>
      </c>
      <c r="H104" s="13">
        <f t="shared" si="5"/>
        <v>0.31452738066196606</v>
      </c>
      <c r="I104" s="12">
        <f t="shared" si="6"/>
        <v>0</v>
      </c>
    </row>
    <row r="105" spans="2:9" ht="12.75" customHeight="1" hidden="1">
      <c r="B105" s="191">
        <v>29</v>
      </c>
      <c r="C105" s="21">
        <f t="shared" si="0"/>
        <v>1455.7251585763229</v>
      </c>
      <c r="D105" s="14">
        <f t="shared" si="2"/>
        <v>331</v>
      </c>
      <c r="E105" s="15">
        <f t="shared" si="3"/>
        <v>135.52198325611994</v>
      </c>
      <c r="F105" s="11">
        <f t="shared" si="1"/>
        <v>1320.203175320203</v>
      </c>
      <c r="G105" s="12">
        <f t="shared" si="4"/>
        <v>1742936.4241255466</v>
      </c>
      <c r="H105" s="13">
        <f t="shared" si="5"/>
        <v>0.31452738066196606</v>
      </c>
      <c r="I105" s="12">
        <f t="shared" si="6"/>
        <v>0</v>
      </c>
    </row>
    <row r="106" spans="2:9" ht="12.75" customHeight="1" hidden="1">
      <c r="B106" s="191">
        <v>30</v>
      </c>
      <c r="C106" s="21">
        <f t="shared" si="0"/>
        <v>1408.6223674248074</v>
      </c>
      <c r="D106" s="14">
        <f t="shared" si="2"/>
        <v>330</v>
      </c>
      <c r="E106" s="15">
        <f t="shared" si="3"/>
        <v>135.94251807679038</v>
      </c>
      <c r="F106" s="11">
        <f t="shared" si="1"/>
        <v>1272.6798493480171</v>
      </c>
      <c r="G106" s="12">
        <f t="shared" si="4"/>
        <v>1619713.9989364916</v>
      </c>
      <c r="H106" s="13">
        <f t="shared" si="5"/>
        <v>0.31452738066196606</v>
      </c>
      <c r="I106" s="12">
        <f t="shared" si="6"/>
        <v>0</v>
      </c>
    </row>
    <row r="107" spans="2:9" ht="12.75" customHeight="1" hidden="1">
      <c r="B107" s="191">
        <v>31</v>
      </c>
      <c r="C107" s="21">
        <f t="shared" si="0"/>
        <v>1364.5593824671496</v>
      </c>
      <c r="D107" s="14">
        <f t="shared" si="2"/>
        <v>329</v>
      </c>
      <c r="E107" s="15">
        <f t="shared" si="3"/>
        <v>136.3655790144573</v>
      </c>
      <c r="F107" s="11">
        <f t="shared" si="1"/>
        <v>1228.1938034526922</v>
      </c>
      <c r="G107" s="12">
        <f t="shared" si="4"/>
        <v>1508460.0188395905</v>
      </c>
      <c r="H107" s="13">
        <f t="shared" si="5"/>
        <v>0.31452738066196606</v>
      </c>
      <c r="I107" s="12">
        <f t="shared" si="6"/>
        <v>0</v>
      </c>
    </row>
    <row r="108" spans="2:9" ht="12.75" customHeight="1" hidden="1">
      <c r="B108" s="191">
        <v>32</v>
      </c>
      <c r="C108" s="21">
        <f t="shared" si="0"/>
        <v>1323.2512218501486</v>
      </c>
      <c r="D108" s="14">
        <f t="shared" si="2"/>
        <v>328</v>
      </c>
      <c r="E108" s="15">
        <f t="shared" si="3"/>
        <v>136.7911891643249</v>
      </c>
      <c r="F108" s="11">
        <f t="shared" si="1"/>
        <v>1186.4600326858238</v>
      </c>
      <c r="G108" s="12">
        <f t="shared" si="4"/>
        <v>1407687.409160846</v>
      </c>
      <c r="H108" s="13">
        <f t="shared" si="5"/>
        <v>0.31452738066196606</v>
      </c>
      <c r="I108" s="12">
        <f t="shared" si="6"/>
        <v>0</v>
      </c>
    </row>
    <row r="109" spans="2:9" ht="12.75" customHeight="1" hidden="1">
      <c r="B109" s="191">
        <v>33</v>
      </c>
      <c r="C109" s="21">
        <f t="shared" si="0"/>
        <v>1284.4474469748134</v>
      </c>
      <c r="D109" s="14">
        <f t="shared" si="2"/>
        <v>327</v>
      </c>
      <c r="E109" s="15">
        <f t="shared" si="3"/>
        <v>137.21937190413513</v>
      </c>
      <c r="F109" s="11">
        <f t="shared" si="1"/>
        <v>1147.2280750706782</v>
      </c>
      <c r="G109" s="12">
        <f t="shared" si="4"/>
        <v>1316132.2562303736</v>
      </c>
      <c r="H109" s="13">
        <f t="shared" si="5"/>
        <v>0.31452738066196606</v>
      </c>
      <c r="I109" s="12">
        <f t="shared" si="6"/>
        <v>0</v>
      </c>
    </row>
    <row r="110" spans="2:9" ht="12.75" customHeight="1" hidden="1">
      <c r="B110" s="191">
        <v>34</v>
      </c>
      <c r="C110" s="21">
        <f t="shared" si="0"/>
        <v>1247.9270826060595</v>
      </c>
      <c r="D110" s="14">
        <f t="shared" si="2"/>
        <v>326</v>
      </c>
      <c r="E110" s="15">
        <f t="shared" si="3"/>
        <v>137.65015089850144</v>
      </c>
      <c r="F110" s="11">
        <f t="shared" si="1"/>
        <v>1110.276931707558</v>
      </c>
      <c r="G110" s="12">
        <f t="shared" si="4"/>
        <v>1232714.8650819496</v>
      </c>
      <c r="H110" s="13">
        <f t="shared" si="5"/>
        <v>0.31452738066196606</v>
      </c>
      <c r="I110" s="12">
        <f t="shared" si="6"/>
        <v>0</v>
      </c>
    </row>
    <row r="111" spans="2:9" ht="12.75" customHeight="1" hidden="1">
      <c r="B111" s="191">
        <v>35</v>
      </c>
      <c r="C111" s="21">
        <f t="shared" si="0"/>
        <v>1213.4944078207002</v>
      </c>
      <c r="D111" s="14">
        <f t="shared" si="2"/>
        <v>325</v>
      </c>
      <c r="E111" s="15">
        <f t="shared" si="3"/>
        <v>138.08355010332173</v>
      </c>
      <c r="F111" s="11">
        <f t="shared" si="1"/>
        <v>1075.4108577173783</v>
      </c>
      <c r="G111" s="12">
        <f t="shared" si="4"/>
        <v>1156508.5128964274</v>
      </c>
      <c r="H111" s="13">
        <f t="shared" si="5"/>
        <v>0.31452738066196606</v>
      </c>
      <c r="I111" s="12">
        <f t="shared" si="6"/>
        <v>0</v>
      </c>
    </row>
    <row r="112" spans="2:9" ht="12.75" customHeight="1" hidden="1">
      <c r="B112" s="191">
        <v>36</v>
      </c>
      <c r="C112" s="21">
        <f t="shared" si="0"/>
        <v>1180.9754484641453</v>
      </c>
      <c r="D112" s="14">
        <f t="shared" si="2"/>
        <v>324</v>
      </c>
      <c r="E112" s="15">
        <f t="shared" si="3"/>
        <v>138.51959377027399</v>
      </c>
      <c r="F112" s="11">
        <f t="shared" si="1"/>
        <v>1042.4558546938713</v>
      </c>
      <c r="G112" s="12">
        <f t="shared" si="4"/>
        <v>1086714.2089855296</v>
      </c>
      <c r="H112" s="13">
        <f t="shared" si="5"/>
        <v>0.31452738066196606</v>
      </c>
      <c r="I112" s="12">
        <f t="shared" si="6"/>
        <v>0</v>
      </c>
    </row>
    <row r="113" spans="2:9" ht="12.75" customHeight="1" hidden="1">
      <c r="B113" s="191">
        <v>37</v>
      </c>
      <c r="C113" s="21">
        <f t="shared" si="0"/>
        <v>1150.2150383978683</v>
      </c>
      <c r="D113" s="14">
        <f t="shared" si="2"/>
        <v>323</v>
      </c>
      <c r="E113" s="15">
        <f t="shared" si="3"/>
        <v>138.95830645139466</v>
      </c>
      <c r="F113" s="11">
        <f t="shared" si="1"/>
        <v>1011.2567319464736</v>
      </c>
      <c r="G113" s="12">
        <f t="shared" si="4"/>
        <v>1022640.1779070619</v>
      </c>
      <c r="H113" s="13">
        <f t="shared" si="5"/>
        <v>0.31452738066196606</v>
      </c>
      <c r="I113" s="12">
        <f t="shared" si="6"/>
        <v>0</v>
      </c>
    </row>
    <row r="114" spans="2:9" ht="12.75" customHeight="1" hidden="1">
      <c r="B114" s="191">
        <v>38</v>
      </c>
      <c r="C114" s="21">
        <f t="shared" si="0"/>
        <v>1121.0743447604668</v>
      </c>
      <c r="D114" s="14">
        <f t="shared" si="2"/>
        <v>322</v>
      </c>
      <c r="E114" s="15">
        <f t="shared" si="3"/>
        <v>139.39971300374268</v>
      </c>
      <c r="F114" s="11">
        <f t="shared" si="1"/>
        <v>981.6746317567241</v>
      </c>
      <c r="G114" s="12">
        <f t="shared" si="4"/>
        <v>963685.0826346999</v>
      </c>
      <c r="H114" s="13">
        <f t="shared" si="5"/>
        <v>0.31452738066196606</v>
      </c>
      <c r="I114" s="12">
        <f t="shared" si="6"/>
        <v>0</v>
      </c>
    </row>
    <row r="115" spans="2:9" ht="12.75" customHeight="1" hidden="1">
      <c r="B115" s="191">
        <v>39</v>
      </c>
      <c r="C115" s="21">
        <f t="shared" si="0"/>
        <v>1093.4287739577728</v>
      </c>
      <c r="D115" s="14">
        <f t="shared" si="2"/>
        <v>321</v>
      </c>
      <c r="E115" s="15">
        <f t="shared" si="3"/>
        <v>139.8438385941506</v>
      </c>
      <c r="F115" s="11">
        <f t="shared" si="1"/>
        <v>953.5849353636222</v>
      </c>
      <c r="G115" s="12">
        <f t="shared" si="4"/>
        <v>909324.2289524436</v>
      </c>
      <c r="H115" s="13">
        <f t="shared" si="5"/>
        <v>0.31452738066196606</v>
      </c>
      <c r="I115" s="12">
        <f t="shared" si="6"/>
        <v>0</v>
      </c>
    </row>
    <row r="116" spans="2:9" ht="12.75" customHeight="1" hidden="1">
      <c r="B116" s="191">
        <v>40</v>
      </c>
      <c r="C116" s="21">
        <f t="shared" si="0"/>
        <v>1067.166191754438</v>
      </c>
      <c r="D116" s="14">
        <f t="shared" si="2"/>
        <v>320</v>
      </c>
      <c r="E116" s="15">
        <f t="shared" si="3"/>
        <v>140.290708704065</v>
      </c>
      <c r="F116" s="11">
        <f t="shared" si="1"/>
        <v>926.875483050373</v>
      </c>
      <c r="G116" s="12">
        <f t="shared" si="4"/>
        <v>859098.1610798623</v>
      </c>
      <c r="H116" s="13">
        <f t="shared" si="5"/>
        <v>0.31452738066196606</v>
      </c>
      <c r="I116" s="12">
        <f t="shared" si="6"/>
        <v>0</v>
      </c>
    </row>
    <row r="117" spans="2:9" ht="12.75" customHeight="1" hidden="1">
      <c r="B117" s="191">
        <v>41</v>
      </c>
      <c r="C117" s="21">
        <f t="shared" si="0"/>
        <v>1042.1854038399422</v>
      </c>
      <c r="D117" s="14">
        <f t="shared" si="2"/>
        <v>319</v>
      </c>
      <c r="E117" s="15">
        <f t="shared" si="3"/>
        <v>140.74034913447744</v>
      </c>
      <c r="F117" s="11">
        <f t="shared" si="1"/>
        <v>901.4450547054647</v>
      </c>
      <c r="G117" s="12">
        <f t="shared" si="4"/>
        <v>812603.1866529383</v>
      </c>
      <c r="H117" s="13">
        <f t="shared" si="5"/>
        <v>0.31452738066196606</v>
      </c>
      <c r="I117" s="12">
        <f t="shared" si="6"/>
        <v>0</v>
      </c>
    </row>
    <row r="118" spans="2:9" ht="12.75" customHeight="1" hidden="1">
      <c r="B118" s="191">
        <v>42</v>
      </c>
      <c r="C118" s="21">
        <f t="shared" si="0"/>
        <v>1018.3948534565867</v>
      </c>
      <c r="D118" s="14">
        <f t="shared" si="2"/>
        <v>318</v>
      </c>
      <c r="E118" s="15">
        <f t="shared" si="3"/>
        <v>141.19278601094905</v>
      </c>
      <c r="F118" s="11">
        <f t="shared" si="1"/>
        <v>877.2020674456377</v>
      </c>
      <c r="G118" s="12">
        <f t="shared" si="4"/>
        <v>769483.4671309011</v>
      </c>
      <c r="H118" s="13">
        <f t="shared" si="5"/>
        <v>0.31452738066196606</v>
      </c>
      <c r="I118" s="12">
        <f t="shared" si="6"/>
        <v>0</v>
      </c>
    </row>
    <row r="119" spans="2:9" ht="12.75" customHeight="1" hidden="1">
      <c r="B119" s="191">
        <v>43</v>
      </c>
      <c r="C119" s="21">
        <f t="shared" si="0"/>
        <v>995.7115007538154</v>
      </c>
      <c r="D119" s="14">
        <f t="shared" si="2"/>
        <v>317</v>
      </c>
      <c r="E119" s="15">
        <f t="shared" si="3"/>
        <v>141.64804578872977</v>
      </c>
      <c r="F119" s="11">
        <f t="shared" si="1"/>
        <v>854.0634549650856</v>
      </c>
      <c r="G119" s="12">
        <f t="shared" si="4"/>
        <v>729424.3851068988</v>
      </c>
      <c r="H119" s="13">
        <f t="shared" si="5"/>
        <v>0.31452738066196606</v>
      </c>
      <c r="I119" s="12">
        <f t="shared" si="6"/>
        <v>0</v>
      </c>
    </row>
    <row r="120" spans="2:9" ht="12.75" customHeight="1" hidden="1">
      <c r="B120" s="191">
        <v>44</v>
      </c>
      <c r="C120" s="21">
        <f t="shared" si="0"/>
        <v>974.0598549578627</v>
      </c>
      <c r="D120" s="14">
        <f t="shared" si="2"/>
        <v>316</v>
      </c>
      <c r="E120" s="15">
        <f t="shared" si="3"/>
        <v>142.1061552579752</v>
      </c>
      <c r="F120" s="11">
        <f t="shared" si="1"/>
        <v>831.9536996998876</v>
      </c>
      <c r="G120" s="12">
        <f t="shared" si="4"/>
        <v>692146.9584443307</v>
      </c>
      <c r="H120" s="13">
        <f t="shared" si="5"/>
        <v>0.31452738066196606</v>
      </c>
      <c r="I120" s="12">
        <f t="shared" si="6"/>
        <v>0</v>
      </c>
    </row>
    <row r="121" spans="2:9" ht="12.75" customHeight="1" hidden="1">
      <c r="B121" s="191">
        <v>45</v>
      </c>
      <c r="C121" s="21">
        <f t="shared" si="0"/>
        <v>953.3711355854381</v>
      </c>
      <c r="D121" s="14">
        <f t="shared" si="2"/>
        <v>315</v>
      </c>
      <c r="E121" s="15">
        <f t="shared" si="3"/>
        <v>142.56714154906214</v>
      </c>
      <c r="F121" s="11">
        <f t="shared" si="1"/>
        <v>810.8039940363759</v>
      </c>
      <c r="G121" s="12">
        <f t="shared" si="4"/>
        <v>657403.1167453395</v>
      </c>
      <c r="H121" s="13">
        <f t="shared" si="5"/>
        <v>0.31452738066196606</v>
      </c>
      <c r="I121" s="12">
        <f t="shared" si="6"/>
        <v>0</v>
      </c>
    </row>
    <row r="122" spans="2:9" ht="12.75" customHeight="1" hidden="1">
      <c r="B122" s="191">
        <v>46</v>
      </c>
      <c r="C122" s="21">
        <f t="shared" si="0"/>
        <v>933.5825430643256</v>
      </c>
      <c r="D122" s="14">
        <f t="shared" si="2"/>
        <v>314</v>
      </c>
      <c r="E122" s="15">
        <f t="shared" si="3"/>
        <v>143.03103213800676</v>
      </c>
      <c r="F122" s="11">
        <f t="shared" si="1"/>
        <v>790.5515109263188</v>
      </c>
      <c r="G122" s="12">
        <f t="shared" si="4"/>
        <v>624971.6914278856</v>
      </c>
      <c r="H122" s="13">
        <f t="shared" si="5"/>
        <v>0.31452738066196606</v>
      </c>
      <c r="I122" s="12">
        <f t="shared" si="6"/>
        <v>0</v>
      </c>
    </row>
    <row r="123" spans="2:9" ht="12.75" customHeight="1" hidden="1">
      <c r="B123" s="191">
        <v>47</v>
      </c>
      <c r="C123" s="21">
        <f t="shared" si="0"/>
        <v>914.6366224662622</v>
      </c>
      <c r="D123" s="14">
        <f t="shared" si="2"/>
        <v>313</v>
      </c>
      <c r="E123" s="15">
        <f t="shared" si="3"/>
        <v>143.49785485198552</v>
      </c>
      <c r="F123" s="11">
        <f t="shared" si="1"/>
        <v>771.1387676142767</v>
      </c>
      <c r="G123" s="12">
        <f t="shared" si="4"/>
        <v>594654.9989176654</v>
      </c>
      <c r="H123" s="13">
        <f t="shared" si="5"/>
        <v>0.31452738066196606</v>
      </c>
      <c r="I123" s="12">
        <f t="shared" si="6"/>
        <v>0</v>
      </c>
    </row>
    <row r="124" spans="2:9" ht="12.75" customHeight="1" hidden="1">
      <c r="B124" s="191">
        <v>48</v>
      </c>
      <c r="C124" s="21">
        <f t="shared" si="0"/>
        <v>896.4807067731714</v>
      </c>
      <c r="D124" s="14">
        <f t="shared" si="2"/>
        <v>312</v>
      </c>
      <c r="E124" s="15">
        <f t="shared" si="3"/>
        <v>143.9676378749629</v>
      </c>
      <c r="F124" s="11">
        <f t="shared" si="1"/>
        <v>752.5130688982085</v>
      </c>
      <c r="G124" s="12">
        <f t="shared" si="4"/>
        <v>566275.9188626</v>
      </c>
      <c r="H124" s="13">
        <f t="shared" si="5"/>
        <v>0.31452738066196606</v>
      </c>
      <c r="I124" s="12">
        <f t="shared" si="6"/>
        <v>0</v>
      </c>
    </row>
    <row r="125" spans="2:9" ht="12.75" customHeight="1" hidden="1">
      <c r="B125" s="191">
        <v>49</v>
      </c>
      <c r="C125" s="21">
        <f t="shared" si="0"/>
        <v>879.066428314913</v>
      </c>
      <c r="D125" s="14">
        <f t="shared" si="2"/>
        <v>311</v>
      </c>
      <c r="E125" s="15">
        <f t="shared" si="3"/>
        <v>144.44040975342767</v>
      </c>
      <c r="F125" s="11">
        <f t="shared" si="1"/>
        <v>734.6260185614854</v>
      </c>
      <c r="G125" s="12">
        <f t="shared" si="4"/>
        <v>539675.3871474998</v>
      </c>
      <c r="H125" s="13">
        <f t="shared" si="5"/>
        <v>0.31452738066196606</v>
      </c>
      <c r="I125" s="12">
        <f t="shared" si="6"/>
        <v>0</v>
      </c>
    </row>
    <row r="126" spans="2:9" ht="12.75" customHeight="1" hidden="1">
      <c r="B126" s="191">
        <v>50</v>
      </c>
      <c r="C126" s="21">
        <f t="shared" si="0"/>
        <v>862.3492888344871</v>
      </c>
      <c r="D126" s="14">
        <f t="shared" si="2"/>
        <v>310</v>
      </c>
      <c r="E126" s="15">
        <f t="shared" si="3"/>
        <v>144.9161994022399</v>
      </c>
      <c r="F126" s="11">
        <f t="shared" si="1"/>
        <v>717.4330894322472</v>
      </c>
      <c r="G126" s="12">
        <f t="shared" si="4"/>
        <v>514710.2378122989</v>
      </c>
      <c r="H126" s="13">
        <f t="shared" si="5"/>
        <v>0.31452738066196606</v>
      </c>
      <c r="I126" s="12">
        <f t="shared" si="6"/>
        <v>0</v>
      </c>
    </row>
    <row r="127" spans="2:9" ht="12.75" customHeight="1" hidden="1">
      <c r="B127" s="191">
        <v>51</v>
      </c>
      <c r="C127" s="21">
        <f t="shared" si="0"/>
        <v>846.2882801338102</v>
      </c>
      <c r="D127" s="14">
        <f t="shared" si="2"/>
        <v>309</v>
      </c>
      <c r="E127" s="15">
        <f t="shared" si="3"/>
        <v>145.39503611059183</v>
      </c>
      <c r="F127" s="11">
        <f t="shared" si="1"/>
        <v>700.8932440232184</v>
      </c>
      <c r="G127" s="12">
        <f t="shared" si="4"/>
        <v>491251.3395173907</v>
      </c>
      <c r="H127" s="13">
        <f t="shared" si="5"/>
        <v>0.31452738066196606</v>
      </c>
      <c r="I127" s="12">
        <f t="shared" si="6"/>
        <v>0</v>
      </c>
    </row>
    <row r="128" spans="2:9" ht="12.75" customHeight="1" hidden="1">
      <c r="B128" s="191">
        <v>52</v>
      </c>
      <c r="C128" s="21">
        <f t="shared" si="0"/>
        <v>830.845548491112</v>
      </c>
      <c r="D128" s="14">
        <f t="shared" si="2"/>
        <v>308</v>
      </c>
      <c r="E128" s="15">
        <f t="shared" si="3"/>
        <v>145.87694954808478</v>
      </c>
      <c r="F128" s="11">
        <f t="shared" si="1"/>
        <v>684.9685989430272</v>
      </c>
      <c r="G128" s="12">
        <f t="shared" si="4"/>
        <v>469181.9815379737</v>
      </c>
      <c r="H128" s="13">
        <f t="shared" si="5"/>
        <v>0.31452738066196606</v>
      </c>
      <c r="I128" s="12">
        <f t="shared" si="6"/>
        <v>0</v>
      </c>
    </row>
    <row r="129" spans="2:9" ht="12.75" customHeight="1" hidden="1">
      <c r="B129" s="191">
        <v>53</v>
      </c>
      <c r="C129" s="21">
        <f t="shared" si="0"/>
        <v>815.9860970688483</v>
      </c>
      <c r="D129" s="14">
        <f t="shared" si="2"/>
        <v>307</v>
      </c>
      <c r="E129" s="15">
        <f t="shared" si="3"/>
        <v>146.36196977092433</v>
      </c>
      <c r="F129" s="11">
        <f t="shared" si="1"/>
        <v>669.6241272979239</v>
      </c>
      <c r="G129" s="12">
        <f t="shared" si="4"/>
        <v>448396.4718595062</v>
      </c>
      <c r="H129" s="13">
        <f t="shared" si="5"/>
        <v>0.31452738066196606</v>
      </c>
      <c r="I129" s="12">
        <f t="shared" si="6"/>
        <v>0</v>
      </c>
    </row>
    <row r="130" spans="2:9" ht="12.75" customHeight="1" hidden="1">
      <c r="B130" s="191">
        <v>54</v>
      </c>
      <c r="C130" s="21">
        <f t="shared" si="0"/>
        <v>801.6775213873655</v>
      </c>
      <c r="D130" s="14">
        <f t="shared" si="2"/>
        <v>306</v>
      </c>
      <c r="E130" s="15">
        <f t="shared" si="3"/>
        <v>146.85012722823805</v>
      </c>
      <c r="F130" s="11">
        <f t="shared" si="1"/>
        <v>654.8273941591274</v>
      </c>
      <c r="G130" s="12">
        <f t="shared" si="4"/>
        <v>428798.9161412332</v>
      </c>
      <c r="H130" s="13">
        <f t="shared" si="5"/>
        <v>0.31452738066196606</v>
      </c>
      <c r="I130" s="12">
        <f t="shared" si="6"/>
        <v>0</v>
      </c>
    </row>
    <row r="131" spans="2:9" ht="12.75" customHeight="1" hidden="1">
      <c r="B131" s="191">
        <v>55</v>
      </c>
      <c r="C131" s="21">
        <f t="shared" si="0"/>
        <v>787.8897736560222</v>
      </c>
      <c r="D131" s="14">
        <f t="shared" si="2"/>
        <v>305</v>
      </c>
      <c r="E131" s="15">
        <f t="shared" si="3"/>
        <v>147.34145276851623</v>
      </c>
      <c r="F131" s="11">
        <f t="shared" si="1"/>
        <v>640.548320887506</v>
      </c>
      <c r="G131" s="12">
        <f t="shared" si="4"/>
        <v>410302.1513918033</v>
      </c>
      <c r="H131" s="13">
        <f t="shared" si="5"/>
        <v>0.31452738066196606</v>
      </c>
      <c r="I131" s="12">
        <f t="shared" si="6"/>
        <v>0</v>
      </c>
    </row>
    <row r="132" spans="2:9" ht="12.75" customHeight="1" hidden="1">
      <c r="B132" s="191">
        <v>56</v>
      </c>
      <c r="C132" s="21">
        <f t="shared" si="0"/>
        <v>774.5949523545071</v>
      </c>
      <c r="D132" s="14">
        <f t="shared" si="2"/>
        <v>304</v>
      </c>
      <c r="E132" s="15">
        <f t="shared" si="3"/>
        <v>147.83597764618088</v>
      </c>
      <c r="F132" s="11">
        <f t="shared" si="1"/>
        <v>626.7589747083261</v>
      </c>
      <c r="G132" s="12">
        <f t="shared" si="4"/>
        <v>392826.81237743224</v>
      </c>
      <c r="H132" s="13">
        <f t="shared" si="5"/>
        <v>0.31452738066196606</v>
      </c>
      <c r="I132" s="12">
        <f t="shared" si="6"/>
        <v>0</v>
      </c>
    </row>
    <row r="133" spans="2:9" ht="12.75" customHeight="1" hidden="1">
      <c r="B133" s="191">
        <v>57</v>
      </c>
      <c r="C133" s="21">
        <f t="shared" si="0"/>
        <v>761.7671139635303</v>
      </c>
      <c r="D133" s="14">
        <f t="shared" si="2"/>
        <v>303</v>
      </c>
      <c r="E133" s="15">
        <f t="shared" si="3"/>
        <v>148.33373352828403</v>
      </c>
      <c r="F133" s="11">
        <f t="shared" si="1"/>
        <v>613.4333804352462</v>
      </c>
      <c r="G133" s="12">
        <f t="shared" si="4"/>
        <v>376300.5122322136</v>
      </c>
      <c r="H133" s="13">
        <f t="shared" si="5"/>
        <v>0.31452738066196606</v>
      </c>
      <c r="I133" s="12">
        <f t="shared" si="6"/>
        <v>0</v>
      </c>
    </row>
    <row r="134" spans="2:9" ht="12.75" customHeight="1" hidden="1">
      <c r="B134" s="191">
        <v>58</v>
      </c>
      <c r="C134" s="21">
        <f t="shared" si="0"/>
        <v>749.3821041716143</v>
      </c>
      <c r="D134" s="14">
        <f t="shared" si="2"/>
        <v>302</v>
      </c>
      <c r="E134" s="15">
        <f t="shared" si="3"/>
        <v>148.83475250133932</v>
      </c>
      <c r="F134" s="11">
        <f t="shared" si="1"/>
        <v>600.547351670275</v>
      </c>
      <c r="G134" s="12">
        <f t="shared" si="4"/>
        <v>360657.12159818097</v>
      </c>
      <c r="H134" s="13">
        <f t="shared" si="5"/>
        <v>0.31452738066196606</v>
      </c>
      <c r="I134" s="12">
        <f t="shared" si="6"/>
        <v>0</v>
      </c>
    </row>
    <row r="135" spans="2:9" ht="12.75" customHeight="1" hidden="1">
      <c r="B135" s="191">
        <v>59</v>
      </c>
      <c r="C135" s="21">
        <f t="shared" si="0"/>
        <v>737.4174062473272</v>
      </c>
      <c r="D135" s="14">
        <f t="shared" si="2"/>
        <v>301</v>
      </c>
      <c r="E135" s="15">
        <f t="shared" si="3"/>
        <v>149.33906707829</v>
      </c>
      <c r="F135" s="11">
        <f t="shared" si="1"/>
        <v>588.0783391690372</v>
      </c>
      <c r="G135" s="12">
        <f t="shared" si="4"/>
        <v>345836.1329998132</v>
      </c>
      <c r="H135" s="13">
        <f t="shared" si="5"/>
        <v>0.31452738066196606</v>
      </c>
      <c r="I135" s="12">
        <f t="shared" si="6"/>
        <v>0</v>
      </c>
    </row>
    <row r="136" spans="2:9" ht="12.75" customHeight="1" hidden="1">
      <c r="B136" s="191">
        <v>60</v>
      </c>
      <c r="C136" s="21">
        <f t="shared" si="0"/>
        <v>725.8520045742756</v>
      </c>
      <c r="D136" s="14">
        <f t="shared" si="2"/>
        <v>300</v>
      </c>
      <c r="E136" s="15">
        <f t="shared" si="3"/>
        <v>149.846710205616</v>
      </c>
      <c r="F136" s="11">
        <f t="shared" si="1"/>
        <v>576.0052943686596</v>
      </c>
      <c r="G136" s="12">
        <f t="shared" si="4"/>
        <v>331782.09914072626</v>
      </c>
      <c r="H136" s="13">
        <f t="shared" si="5"/>
        <v>0.31452738066196606</v>
      </c>
      <c r="I136" s="12">
        <f t="shared" si="6"/>
        <v>0</v>
      </c>
    </row>
    <row r="137" spans="2:9" ht="12.75" customHeight="1" hidden="1">
      <c r="B137" s="191">
        <v>61</v>
      </c>
      <c r="C137" s="21">
        <f t="shared" si="0"/>
        <v>714.6662616088784</v>
      </c>
      <c r="D137" s="14">
        <f t="shared" si="2"/>
        <v>299</v>
      </c>
      <c r="E137" s="15">
        <f t="shared" si="3"/>
        <v>150.3577152705838</v>
      </c>
      <c r="F137" s="11">
        <f t="shared" si="1"/>
        <v>564.3085463382945</v>
      </c>
      <c r="G137" s="12">
        <f t="shared" si="4"/>
        <v>318444.13547043904</v>
      </c>
      <c r="H137" s="13">
        <f t="shared" si="5"/>
        <v>0.31452738066196606</v>
      </c>
      <c r="I137" s="12">
        <f t="shared" si="6"/>
        <v>0</v>
      </c>
    </row>
    <row r="138" spans="2:9" ht="12.75" customHeight="1" hidden="1">
      <c r="B138" s="191">
        <v>62</v>
      </c>
      <c r="C138" s="21">
        <f t="shared" si="0"/>
        <v>703.8418067454785</v>
      </c>
      <c r="D138" s="14">
        <f t="shared" si="2"/>
        <v>298</v>
      </c>
      <c r="E138" s="15">
        <f t="shared" si="3"/>
        <v>150.87211610864213</v>
      </c>
      <c r="F138" s="11">
        <f t="shared" si="1"/>
        <v>552.9696906368364</v>
      </c>
      <c r="G138" s="12">
        <f t="shared" si="4"/>
        <v>305775.47876299854</v>
      </c>
      <c r="H138" s="13">
        <f t="shared" si="5"/>
        <v>0.31452738066196606</v>
      </c>
      <c r="I138" s="12">
        <f t="shared" si="6"/>
        <v>0</v>
      </c>
    </row>
    <row r="139" spans="2:9" ht="12.75" customHeight="1" hidden="1">
      <c r="B139" s="191">
        <v>63</v>
      </c>
      <c r="C139" s="21">
        <f t="shared" si="0"/>
        <v>693.3614357657034</v>
      </c>
      <c r="D139" s="14">
        <f t="shared" si="2"/>
        <v>297</v>
      </c>
      <c r="E139" s="15">
        <f t="shared" si="3"/>
        <v>151.38994701096706</v>
      </c>
      <c r="F139" s="11">
        <f t="shared" si="1"/>
        <v>541.9714887547364</v>
      </c>
      <c r="G139" s="12">
        <f t="shared" si="4"/>
        <v>293733.09462302533</v>
      </c>
      <c r="H139" s="13">
        <f t="shared" si="5"/>
        <v>0.31452738066196606</v>
      </c>
      <c r="I139" s="12">
        <f t="shared" si="6"/>
        <v>0</v>
      </c>
    </row>
    <row r="140" spans="2:9" ht="12.75" customHeight="1" hidden="1">
      <c r="B140" s="191">
        <v>64</v>
      </c>
      <c r="C140" s="21">
        <f t="shared" si="0"/>
        <v>683.2090197144638</v>
      </c>
      <c r="D140" s="14">
        <f t="shared" si="2"/>
        <v>296</v>
      </c>
      <c r="E140" s="15">
        <f t="shared" si="3"/>
        <v>151.91124273216045</v>
      </c>
      <c r="F140" s="11">
        <f t="shared" si="1"/>
        <v>531.2977769823034</v>
      </c>
      <c r="G140" s="12">
        <f t="shared" si="4"/>
        <v>282277.32782633736</v>
      </c>
      <c r="H140" s="13">
        <f t="shared" si="5"/>
        <v>0.31452738066196606</v>
      </c>
      <c r="I140" s="12">
        <f t="shared" si="6"/>
        <v>0</v>
      </c>
    </row>
    <row r="141" spans="2:9" ht="12.75" customHeight="1" hidden="1">
      <c r="B141" s="191">
        <v>65</v>
      </c>
      <c r="C141" s="21">
        <f aca="true" t="shared" si="7" ref="C141:C204">($F$25/12)*POWER((($F$25/12)+1),B141)/(POWER((($F$25/12)+1),B141)-1)*$F$27</f>
        <v>673.3694221873853</v>
      </c>
      <c r="D141" s="14">
        <f t="shared" si="2"/>
        <v>295</v>
      </c>
      <c r="E141" s="15">
        <f t="shared" si="3"/>
        <v>152.43603849810435</v>
      </c>
      <c r="F141" s="11">
        <f aca="true" t="shared" si="8" ref="F141:F204">C141-E141</f>
        <v>520.933383689281</v>
      </c>
      <c r="G141" s="12">
        <f t="shared" si="4"/>
        <v>271371.5902419636</v>
      </c>
      <c r="H141" s="13">
        <f t="shared" si="5"/>
        <v>0.31452738066196606</v>
      </c>
      <c r="I141" s="12">
        <f t="shared" si="6"/>
        <v>0</v>
      </c>
    </row>
    <row r="142" spans="2:9" ht="12.75" customHeight="1" hidden="1">
      <c r="B142" s="191">
        <v>66</v>
      </c>
      <c r="C142" s="21">
        <f t="shared" si="7"/>
        <v>663.8284241375844</v>
      </c>
      <c r="D142" s="14">
        <f aca="true" t="shared" si="9" ref="D142:D205">IF($F$50-B142=0,1,$F$50-B142)</f>
        <v>294</v>
      </c>
      <c r="E142" s="15">
        <f aca="true" t="shared" si="10" ref="E142:E205">(2%/12)*POWER(((2%/12)+1),D142)/(POWER(((2%/12)+1),D142)-1)*(($E$11+$E$12)+((POWER((1+1/100),(($C$28*12+B142)/12))-1)*($E$11+$E$12)))</f>
        <v>152.96437001397598</v>
      </c>
      <c r="F142" s="11">
        <f t="shared" si="8"/>
        <v>510.8640541236084</v>
      </c>
      <c r="G142" s="12">
        <f aca="true" t="shared" si="11" ref="G142:G205">F142*F142</f>
        <v>260982.0817956091</v>
      </c>
      <c r="H142" s="13">
        <f aca="true" t="shared" si="12" ref="H142:H205">MIN($G$77:$G$434)</f>
        <v>0.31452738066196606</v>
      </c>
      <c r="I142" s="12">
        <f aca="true" t="shared" si="13" ref="I142:I205">IF(G142=H142,B142,0)</f>
        <v>0</v>
      </c>
    </row>
    <row r="143" spans="2:9" ht="12.75" customHeight="1" hidden="1">
      <c r="B143" s="191">
        <v>67</v>
      </c>
      <c r="C143" s="21">
        <f t="shared" si="7"/>
        <v>654.5726554161457</v>
      </c>
      <c r="D143" s="14">
        <f t="shared" si="9"/>
        <v>293</v>
      </c>
      <c r="E143" s="15">
        <f t="shared" si="10"/>
        <v>153.4962734724269</v>
      </c>
      <c r="F143" s="11">
        <f t="shared" si="8"/>
        <v>501.07638194371884</v>
      </c>
      <c r="G143" s="12">
        <f t="shared" si="11"/>
        <v>251077.5405418076</v>
      </c>
      <c r="H143" s="13">
        <f t="shared" si="12"/>
        <v>0.31452738066196606</v>
      </c>
      <c r="I143" s="12">
        <f t="shared" si="13"/>
        <v>0</v>
      </c>
    </row>
    <row r="144" spans="2:9" ht="12.75" customHeight="1" hidden="1">
      <c r="B144" s="191">
        <v>68</v>
      </c>
      <c r="C144" s="21">
        <f t="shared" si="7"/>
        <v>645.5895323531572</v>
      </c>
      <c r="D144" s="14">
        <f t="shared" si="9"/>
        <v>292</v>
      </c>
      <c r="E144" s="15">
        <f t="shared" si="10"/>
        <v>154.03178556193046</v>
      </c>
      <c r="F144" s="11">
        <f t="shared" si="8"/>
        <v>491.55774679122675</v>
      </c>
      <c r="G144" s="12">
        <f t="shared" si="11"/>
        <v>241629.01843046778</v>
      </c>
      <c r="H144" s="13">
        <f t="shared" si="12"/>
        <v>0.31452738066196606</v>
      </c>
      <c r="I144" s="12">
        <f t="shared" si="13"/>
        <v>0</v>
      </c>
    </row>
    <row r="145" spans="2:9" ht="12.75" customHeight="1" hidden="1">
      <c r="B145" s="191">
        <v>69</v>
      </c>
      <c r="C145" s="21">
        <f t="shared" si="7"/>
        <v>636.8672007664752</v>
      </c>
      <c r="D145" s="14">
        <f t="shared" si="9"/>
        <v>291</v>
      </c>
      <c r="E145" s="15">
        <f t="shared" si="10"/>
        <v>154.57094347530065</v>
      </c>
      <c r="F145" s="11">
        <f t="shared" si="8"/>
        <v>482.2962572911746</v>
      </c>
      <c r="G145" s="12">
        <f t="shared" si="11"/>
        <v>232609.67979707487</v>
      </c>
      <c r="H145" s="13">
        <f t="shared" si="12"/>
        <v>0.31452738066196606</v>
      </c>
      <c r="I145" s="12">
        <f t="shared" si="13"/>
        <v>0</v>
      </c>
    </row>
    <row r="146" spans="2:9" ht="12.75" customHeight="1" hidden="1">
      <c r="B146" s="191">
        <v>70</v>
      </c>
      <c r="C146" s="21">
        <f t="shared" si="7"/>
        <v>628.3944838554607</v>
      </c>
      <c r="D146" s="14">
        <f t="shared" si="9"/>
        <v>290</v>
      </c>
      <c r="E146" s="15">
        <f t="shared" si="10"/>
        <v>155.11378491838798</v>
      </c>
      <c r="F146" s="11">
        <f t="shared" si="8"/>
        <v>473.28069893707277</v>
      </c>
      <c r="G146" s="12">
        <f t="shared" si="11"/>
        <v>223994.61998636412</v>
      </c>
      <c r="H146" s="13">
        <f t="shared" si="12"/>
        <v>0.31452738066196606</v>
      </c>
      <c r="I146" s="12">
        <f t="shared" si="13"/>
        <v>0</v>
      </c>
    </row>
    <row r="147" spans="2:9" ht="12.75" customHeight="1" hidden="1">
      <c r="B147" s="191">
        <v>71</v>
      </c>
      <c r="C147" s="21">
        <f t="shared" si="7"/>
        <v>620.1608344980505</v>
      </c>
      <c r="D147" s="14">
        <f t="shared" si="9"/>
        <v>289</v>
      </c>
      <c r="E147" s="15">
        <f t="shared" si="10"/>
        <v>155.66034811895528</v>
      </c>
      <c r="F147" s="11">
        <f t="shared" si="8"/>
        <v>464.50048637909515</v>
      </c>
      <c r="G147" s="12">
        <f t="shared" si="11"/>
        <v>215760.70184641596</v>
      </c>
      <c r="H147" s="13">
        <f t="shared" si="12"/>
        <v>0.31452738066196606</v>
      </c>
      <c r="I147" s="12">
        <f t="shared" si="13"/>
        <v>0</v>
      </c>
    </row>
    <row r="148" spans="2:9" ht="12.75" customHeight="1" hidden="1">
      <c r="B148" s="191">
        <v>72</v>
      </c>
      <c r="C148" s="21">
        <f t="shared" si="7"/>
        <v>612.1562915230828</v>
      </c>
      <c r="D148" s="14">
        <f t="shared" si="9"/>
        <v>288</v>
      </c>
      <c r="E148" s="15">
        <f t="shared" si="10"/>
        <v>156.21067183573916</v>
      </c>
      <c r="F148" s="11">
        <f t="shared" si="8"/>
        <v>455.94561968734365</v>
      </c>
      <c r="G148" s="12">
        <f t="shared" si="11"/>
        <v>207886.40811207582</v>
      </c>
      <c r="H148" s="13">
        <f t="shared" si="12"/>
        <v>0.31452738066196606</v>
      </c>
      <c r="I148" s="12">
        <f t="shared" si="13"/>
        <v>0</v>
      </c>
    </row>
    <row r="149" spans="2:9" ht="12.75" customHeight="1" hidden="1">
      <c r="B149" s="191">
        <v>73</v>
      </c>
      <c r="C149" s="21">
        <f t="shared" si="7"/>
        <v>604.3714395766701</v>
      </c>
      <c r="D149" s="14">
        <f t="shared" si="9"/>
        <v>287</v>
      </c>
      <c r="E149" s="15">
        <f t="shared" si="10"/>
        <v>156.76479536769992</v>
      </c>
      <c r="F149" s="11">
        <f t="shared" si="8"/>
        <v>447.60664420897024</v>
      </c>
      <c r="G149" s="12">
        <f t="shared" si="11"/>
        <v>200351.70794001568</v>
      </c>
      <c r="H149" s="13">
        <f t="shared" si="12"/>
        <v>0.31452738066196606</v>
      </c>
      <c r="I149" s="12">
        <f t="shared" si="13"/>
        <v>0</v>
      </c>
    </row>
    <row r="150" spans="2:9" ht="12.75" customHeight="1" hidden="1">
      <c r="B150" s="191">
        <v>74</v>
      </c>
      <c r="C150" s="21">
        <f t="shared" si="7"/>
        <v>596.7973722426583</v>
      </c>
      <c r="D150" s="14">
        <f t="shared" si="9"/>
        <v>286</v>
      </c>
      <c r="E150" s="15">
        <f t="shared" si="10"/>
        <v>157.32275856346635</v>
      </c>
      <c r="F150" s="11">
        <f t="shared" si="8"/>
        <v>439.474613679192</v>
      </c>
      <c r="G150" s="12">
        <f t="shared" si="11"/>
        <v>193137.93606847504</v>
      </c>
      <c r="H150" s="13">
        <f t="shared" si="12"/>
        <v>0.31452738066196606</v>
      </c>
      <c r="I150" s="12">
        <f t="shared" si="13"/>
        <v>0</v>
      </c>
    </row>
    <row r="151" spans="2:9" ht="12.75" customHeight="1" hidden="1">
      <c r="B151" s="191">
        <v>75</v>
      </c>
      <c r="C151" s="21">
        <f t="shared" si="7"/>
        <v>589.4256581134404</v>
      </c>
      <c r="D151" s="14">
        <f t="shared" si="9"/>
        <v>285</v>
      </c>
      <c r="E151" s="15">
        <f t="shared" si="10"/>
        <v>157.8846018309788</v>
      </c>
      <c r="F151" s="11">
        <f t="shared" si="8"/>
        <v>431.54105628246157</v>
      </c>
      <c r="G151" s="12">
        <f t="shared" si="11"/>
        <v>186227.68325738265</v>
      </c>
      <c r="H151" s="13">
        <f t="shared" si="12"/>
        <v>0.31452738066196606</v>
      </c>
      <c r="I151" s="12">
        <f t="shared" si="13"/>
        <v>0</v>
      </c>
    </row>
    <row r="152" spans="2:9" ht="12.75" customHeight="1" hidden="1">
      <c r="B152" s="191">
        <v>76</v>
      </c>
      <c r="C152" s="21">
        <f t="shared" si="7"/>
        <v>582.2483095393978</v>
      </c>
      <c r="D152" s="14">
        <f t="shared" si="9"/>
        <v>284</v>
      </c>
      <c r="E152" s="15">
        <f t="shared" si="10"/>
        <v>158.4503661473368</v>
      </c>
      <c r="F152" s="11">
        <f t="shared" si="8"/>
        <v>423.79794339206103</v>
      </c>
      <c r="G152" s="12">
        <f t="shared" si="11"/>
        <v>179604.69682334058</v>
      </c>
      <c r="H152" s="13">
        <f t="shared" si="12"/>
        <v>0.31452738066196606</v>
      </c>
      <c r="I152" s="12">
        <f t="shared" si="13"/>
        <v>0</v>
      </c>
    </row>
    <row r="153" spans="2:9" ht="12.75" customHeight="1" hidden="1">
      <c r="B153" s="191">
        <v>77</v>
      </c>
      <c r="C153" s="21">
        <f t="shared" si="7"/>
        <v>575.2577538134422</v>
      </c>
      <c r="D153" s="14">
        <f t="shared" si="9"/>
        <v>283</v>
      </c>
      <c r="E153" s="15">
        <f t="shared" si="10"/>
        <v>159.02009306885427</v>
      </c>
      <c r="F153" s="11">
        <f t="shared" si="8"/>
        <v>416.23766074458786</v>
      </c>
      <c r="G153" s="12">
        <f t="shared" si="11"/>
        <v>173253.7902221266</v>
      </c>
      <c r="H153" s="13">
        <f t="shared" si="12"/>
        <v>0.31452738066196606</v>
      </c>
      <c r="I153" s="12">
        <f t="shared" si="13"/>
        <v>0</v>
      </c>
    </row>
    <row r="154" spans="2:9" ht="12.75" customHeight="1" hidden="1">
      <c r="B154" s="191">
        <v>78</v>
      </c>
      <c r="C154" s="21">
        <f t="shared" si="7"/>
        <v>568.4468065721387</v>
      </c>
      <c r="D154" s="14">
        <f t="shared" si="9"/>
        <v>282</v>
      </c>
      <c r="E154" s="15">
        <f t="shared" si="10"/>
        <v>159.59382474132946</v>
      </c>
      <c r="F154" s="11">
        <f t="shared" si="8"/>
        <v>408.85298183080926</v>
      </c>
      <c r="G154" s="12">
        <f t="shared" si="11"/>
        <v>167160.76075194404</v>
      </c>
      <c r="H154" s="13">
        <f t="shared" si="12"/>
        <v>0.31452738066196606</v>
      </c>
      <c r="I154" s="12">
        <f t="shared" si="13"/>
        <v>0</v>
      </c>
    </row>
    <row r="155" spans="2:9" ht="12.75" customHeight="1" hidden="1">
      <c r="B155" s="191">
        <v>79</v>
      </c>
      <c r="C155" s="21">
        <f t="shared" si="7"/>
        <v>561.808647216995</v>
      </c>
      <c r="D155" s="14">
        <f t="shared" si="9"/>
        <v>281</v>
      </c>
      <c r="E155" s="15">
        <f t="shared" si="10"/>
        <v>160.17160391053423</v>
      </c>
      <c r="F155" s="11">
        <f t="shared" si="8"/>
        <v>401.6370433064608</v>
      </c>
      <c r="G155" s="12">
        <f t="shared" si="11"/>
        <v>161312.31455595585</v>
      </c>
      <c r="H155" s="13">
        <f t="shared" si="12"/>
        <v>0.31452738066196606</v>
      </c>
      <c r="I155" s="12">
        <f t="shared" si="13"/>
        <v>0</v>
      </c>
    </row>
    <row r="156" spans="2:9" ht="12.75" customHeight="1" hidden="1">
      <c r="B156" s="191">
        <v>80</v>
      </c>
      <c r="C156" s="21">
        <f t="shared" si="7"/>
        <v>555.3367961791482</v>
      </c>
      <c r="D156" s="14">
        <f t="shared" si="9"/>
        <v>280</v>
      </c>
      <c r="E156" s="15">
        <f t="shared" si="10"/>
        <v>160.75347393292773</v>
      </c>
      <c r="F156" s="11">
        <f t="shared" si="8"/>
        <v>394.5833222462205</v>
      </c>
      <c r="G156" s="12">
        <f t="shared" si="11"/>
        <v>155695.99819486472</v>
      </c>
      <c r="H156" s="13">
        <f t="shared" si="12"/>
        <v>0.31452738066196606</v>
      </c>
      <c r="I156" s="12">
        <f t="shared" si="13"/>
        <v>0</v>
      </c>
    </row>
    <row r="157" spans="2:9" ht="12.75" customHeight="1" hidden="1">
      <c r="B157" s="191">
        <v>81</v>
      </c>
      <c r="C157" s="21">
        <f t="shared" si="7"/>
        <v>549.0250938681556</v>
      </c>
      <c r="D157" s="14">
        <f t="shared" si="9"/>
        <v>279</v>
      </c>
      <c r="E157" s="15">
        <f t="shared" si="10"/>
        <v>161.33947878660084</v>
      </c>
      <c r="F157" s="11">
        <f t="shared" si="8"/>
        <v>387.68561508155483</v>
      </c>
      <c r="G157" s="12">
        <f t="shared" si="11"/>
        <v>150300.1361411635</v>
      </c>
      <c r="H157" s="13">
        <f t="shared" si="12"/>
        <v>0.31452738066196606</v>
      </c>
      <c r="I157" s="12">
        <f t="shared" si="13"/>
        <v>0</v>
      </c>
    </row>
    <row r="158" spans="2:9" ht="12.75" customHeight="1" hidden="1">
      <c r="B158" s="191">
        <v>82</v>
      </c>
      <c r="C158" s="21">
        <f t="shared" si="7"/>
        <v>542.8676811611155</v>
      </c>
      <c r="D158" s="14">
        <f t="shared" si="9"/>
        <v>278</v>
      </c>
      <c r="E158" s="15">
        <f t="shared" si="10"/>
        <v>161.929663082456</v>
      </c>
      <c r="F158" s="11">
        <f t="shared" si="8"/>
        <v>380.93801807865947</v>
      </c>
      <c r="G158" s="12">
        <f t="shared" si="11"/>
        <v>145113.7736176971</v>
      </c>
      <c r="H158" s="13">
        <f t="shared" si="12"/>
        <v>0.31452738066196606</v>
      </c>
      <c r="I158" s="12">
        <f t="shared" si="13"/>
        <v>0</v>
      </c>
    </row>
    <row r="159" spans="2:9" ht="12.75" customHeight="1" hidden="1">
      <c r="B159" s="191">
        <v>83</v>
      </c>
      <c r="C159" s="21">
        <f t="shared" si="7"/>
        <v>536.8589813022149</v>
      </c>
      <c r="D159" s="14">
        <f t="shared" si="9"/>
        <v>277</v>
      </c>
      <c r="E159" s="15">
        <f t="shared" si="10"/>
        <v>162.52407207563064</v>
      </c>
      <c r="F159" s="11">
        <f t="shared" si="8"/>
        <v>374.3349092265843</v>
      </c>
      <c r="G159" s="12">
        <f t="shared" si="11"/>
        <v>140126.62426567508</v>
      </c>
      <c r="H159" s="13">
        <f t="shared" si="12"/>
        <v>0.31452738066196606</v>
      </c>
      <c r="I159" s="12">
        <f t="shared" si="13"/>
        <v>0</v>
      </c>
    </row>
    <row r="160" spans="2:9" ht="12.75" customHeight="1" hidden="1">
      <c r="B160" s="191">
        <v>84</v>
      </c>
      <c r="C160" s="21">
        <f t="shared" si="7"/>
        <v>530.9936830951601</v>
      </c>
      <c r="D160" s="14">
        <f t="shared" si="9"/>
        <v>276</v>
      </c>
      <c r="E160" s="15">
        <f t="shared" si="10"/>
        <v>163.12275167716757</v>
      </c>
      <c r="F160" s="11">
        <f t="shared" si="8"/>
        <v>367.87093141799255</v>
      </c>
      <c r="G160" s="12">
        <f t="shared" si="11"/>
        <v>135329.02218234137</v>
      </c>
      <c r="H160" s="13">
        <f t="shared" si="12"/>
        <v>0.31452738066196606</v>
      </c>
      <c r="I160" s="12">
        <f t="shared" si="13"/>
        <v>0</v>
      </c>
    </row>
    <row r="161" spans="2:9" ht="12.75" customHeight="1" hidden="1">
      <c r="B161" s="191">
        <v>85</v>
      </c>
      <c r="C161" s="21">
        <f t="shared" si="7"/>
        <v>525.2667252820331</v>
      </c>
      <c r="D161" s="14">
        <f t="shared" si="9"/>
        <v>275</v>
      </c>
      <c r="E161" s="15">
        <f t="shared" si="10"/>
        <v>163.72574846594088</v>
      </c>
      <c r="F161" s="11">
        <f t="shared" si="8"/>
        <v>361.5409768160922</v>
      </c>
      <c r="G161" s="12">
        <f t="shared" si="11"/>
        <v>130711.87791713413</v>
      </c>
      <c r="H161" s="13">
        <f t="shared" si="12"/>
        <v>0.31452738066196606</v>
      </c>
      <c r="I161" s="12">
        <f t="shared" si="13"/>
        <v>0</v>
      </c>
    </row>
    <row r="162" spans="2:9" ht="12.75" customHeight="1" hidden="1">
      <c r="B162" s="191">
        <v>86</v>
      </c>
      <c r="C162" s="21">
        <f t="shared" si="7"/>
        <v>519.6732820119865</v>
      </c>
      <c r="D162" s="14">
        <f t="shared" si="9"/>
        <v>274</v>
      </c>
      <c r="E162" s="15">
        <f t="shared" si="10"/>
        <v>164.33310970084239</v>
      </c>
      <c r="F162" s="11">
        <f t="shared" si="8"/>
        <v>355.34017231114416</v>
      </c>
      <c r="G162" s="12">
        <f t="shared" si="11"/>
        <v>126266.63805811362</v>
      </c>
      <c r="H162" s="13">
        <f t="shared" si="12"/>
        <v>0.31452738066196606</v>
      </c>
      <c r="I162" s="12">
        <f t="shared" si="13"/>
        <v>0</v>
      </c>
    </row>
    <row r="163" spans="2:9" ht="12.75" customHeight="1" hidden="1">
      <c r="B163" s="191">
        <v>87</v>
      </c>
      <c r="C163" s="21">
        <f t="shared" si="7"/>
        <v>514.2087493121062</v>
      </c>
      <c r="D163" s="14">
        <f t="shared" si="9"/>
        <v>273</v>
      </c>
      <c r="E163" s="15">
        <f t="shared" si="10"/>
        <v>164.94488333323622</v>
      </c>
      <c r="F163" s="11">
        <f t="shared" si="8"/>
        <v>349.26386597886994</v>
      </c>
      <c r="G163" s="12">
        <f t="shared" si="11"/>
        <v>121985.24807850603</v>
      </c>
      <c r="H163" s="13">
        <f t="shared" si="12"/>
        <v>0.31452738066196606</v>
      </c>
      <c r="I163" s="12">
        <f t="shared" si="13"/>
        <v>0</v>
      </c>
    </row>
    <row r="164" spans="2:9" ht="12.75" customHeight="1" hidden="1">
      <c r="B164" s="191">
        <v>88</v>
      </c>
      <c r="C164" s="21">
        <f t="shared" si="7"/>
        <v>508.86873248070754</v>
      </c>
      <c r="D164" s="14">
        <f t="shared" si="9"/>
        <v>272</v>
      </c>
      <c r="E164" s="15">
        <f t="shared" si="10"/>
        <v>165.56111801968842</v>
      </c>
      <c r="F164" s="11">
        <f t="shared" si="8"/>
        <v>343.3076144610191</v>
      </c>
      <c r="G164" s="12">
        <f t="shared" si="11"/>
        <v>117860.11814691575</v>
      </c>
      <c r="H164" s="13">
        <f t="shared" si="12"/>
        <v>0.31452738066196606</v>
      </c>
      <c r="I164" s="12">
        <f t="shared" si="13"/>
        <v>0</v>
      </c>
    </row>
    <row r="165" spans="2:9" ht="12.75" customHeight="1" hidden="1">
      <c r="B165" s="191">
        <v>89</v>
      </c>
      <c r="C165" s="21">
        <f t="shared" si="7"/>
        <v>503.6490343305256</v>
      </c>
      <c r="D165" s="14">
        <f t="shared" si="9"/>
        <v>271</v>
      </c>
      <c r="E165" s="15">
        <f t="shared" si="10"/>
        <v>166.18186313497782</v>
      </c>
      <c r="F165" s="11">
        <f t="shared" si="8"/>
        <v>337.46717119554773</v>
      </c>
      <c r="G165" s="12">
        <f t="shared" si="11"/>
        <v>113884.09163472512</v>
      </c>
      <c r="H165" s="13">
        <f t="shared" si="12"/>
        <v>0.31452738066196606</v>
      </c>
      <c r="I165" s="12">
        <f t="shared" si="13"/>
        <v>0</v>
      </c>
    </row>
    <row r="166" spans="2:9" ht="12.75" customHeight="1" hidden="1">
      <c r="B166" s="191">
        <v>90</v>
      </c>
      <c r="C166" s="21">
        <f t="shared" si="7"/>
        <v>498.5456442156921</v>
      </c>
      <c r="D166" s="14">
        <f t="shared" si="9"/>
        <v>270</v>
      </c>
      <c r="E166" s="15">
        <f t="shared" si="10"/>
        <v>166.80716878539624</v>
      </c>
      <c r="F166" s="11">
        <f t="shared" si="8"/>
        <v>331.73847543029586</v>
      </c>
      <c r="G166" s="12">
        <f t="shared" si="11"/>
        <v>110050.41608081701</v>
      </c>
      <c r="H166" s="13">
        <f t="shared" si="12"/>
        <v>0.31452738066196606</v>
      </c>
      <c r="I166" s="12">
        <f t="shared" si="13"/>
        <v>0</v>
      </c>
    </row>
    <row r="167" spans="2:9" ht="12.75" customHeight="1" hidden="1">
      <c r="B167" s="191">
        <v>91</v>
      </c>
      <c r="C167" s="21">
        <f t="shared" si="7"/>
        <v>493.5547277822073</v>
      </c>
      <c r="D167" s="14">
        <f t="shared" si="9"/>
        <v>269</v>
      </c>
      <c r="E167" s="15">
        <f t="shared" si="10"/>
        <v>167.43708582234552</v>
      </c>
      <c r="F167" s="11">
        <f t="shared" si="8"/>
        <v>326.11764195986177</v>
      </c>
      <c r="G167" s="12">
        <f t="shared" si="11"/>
        <v>106352.7163974606</v>
      </c>
      <c r="H167" s="13">
        <f t="shared" si="12"/>
        <v>0.31452738066196606</v>
      </c>
      <c r="I167" s="12">
        <f t="shared" si="13"/>
        <v>0</v>
      </c>
    </row>
    <row r="168" spans="2:9" ht="12.75" customHeight="1" hidden="1">
      <c r="B168" s="191">
        <v>92</v>
      </c>
      <c r="C168" s="21">
        <f t="shared" si="7"/>
        <v>488.67261738686335</v>
      </c>
      <c r="D168" s="14">
        <f t="shared" si="9"/>
        <v>268</v>
      </c>
      <c r="E168" s="15">
        <f t="shared" si="10"/>
        <v>168.0716658562389</v>
      </c>
      <c r="F168" s="11">
        <f t="shared" si="8"/>
        <v>320.60095153062446</v>
      </c>
      <c r="G168" s="12">
        <f t="shared" si="11"/>
        <v>102784.97012234181</v>
      </c>
      <c r="H168" s="13">
        <f t="shared" si="12"/>
        <v>0.31452738066196606</v>
      </c>
      <c r="I168" s="12">
        <f t="shared" si="13"/>
        <v>0</v>
      </c>
    </row>
    <row r="169" spans="2:9" ht="12.75" customHeight="1" hidden="1">
      <c r="B169" s="191">
        <v>93</v>
      </c>
      <c r="C169" s="21">
        <f t="shared" si="7"/>
        <v>483.8958031342927</v>
      </c>
      <c r="D169" s="14">
        <f t="shared" si="9"/>
        <v>267</v>
      </c>
      <c r="E169" s="15">
        <f t="shared" si="10"/>
        <v>168.7109612707146</v>
      </c>
      <c r="F169" s="11">
        <f t="shared" si="8"/>
        <v>315.1848418635781</v>
      </c>
      <c r="G169" s="12">
        <f t="shared" si="11"/>
        <v>99341.48454056872</v>
      </c>
      <c r="H169" s="13">
        <f t="shared" si="12"/>
        <v>0.31452738066196606</v>
      </c>
      <c r="I169" s="12">
        <f t="shared" si="13"/>
        <v>0</v>
      </c>
    </row>
    <row r="170" spans="2:9" ht="12.75" customHeight="1" hidden="1">
      <c r="B170" s="191">
        <v>94</v>
      </c>
      <c r="C170" s="21">
        <f t="shared" si="7"/>
        <v>479.22092448613165</v>
      </c>
      <c r="D170" s="14">
        <f t="shared" si="9"/>
        <v>266</v>
      </c>
      <c r="E170" s="15">
        <f t="shared" si="10"/>
        <v>169.35502523717014</v>
      </c>
      <c r="F170" s="11">
        <f t="shared" si="8"/>
        <v>309.8658992489615</v>
      </c>
      <c r="G170" s="12">
        <f t="shared" si="11"/>
        <v>96016.87551736756</v>
      </c>
      <c r="H170" s="13">
        <f t="shared" si="12"/>
        <v>0.31452738066196606</v>
      </c>
      <c r="I170" s="12">
        <f t="shared" si="13"/>
        <v>0</v>
      </c>
    </row>
    <row r="171" spans="2:9" ht="12.75" customHeight="1" hidden="1">
      <c r="B171" s="191">
        <v>95</v>
      </c>
      <c r="C171" s="21">
        <f t="shared" si="7"/>
        <v>474.64476240012243</v>
      </c>
      <c r="D171" s="14">
        <f t="shared" si="9"/>
        <v>265</v>
      </c>
      <c r="E171" s="15">
        <f t="shared" si="10"/>
        <v>170.003911729626</v>
      </c>
      <c r="F171" s="11">
        <f t="shared" si="8"/>
        <v>304.64085067049643</v>
      </c>
      <c r="G171" s="12">
        <f t="shared" si="11"/>
        <v>92806.04789724371</v>
      </c>
      <c r="H171" s="13">
        <f t="shared" si="12"/>
        <v>0.31452738066196606</v>
      </c>
      <c r="I171" s="12">
        <f t="shared" si="13"/>
        <v>0</v>
      </c>
    </row>
    <row r="172" spans="2:9" ht="12.75" customHeight="1" hidden="1">
      <c r="B172" s="191">
        <v>96</v>
      </c>
      <c r="C172" s="21">
        <f t="shared" si="7"/>
        <v>470.1642319605255</v>
      </c>
      <c r="D172" s="14">
        <f t="shared" si="9"/>
        <v>264</v>
      </c>
      <c r="E172" s="15">
        <f t="shared" si="10"/>
        <v>170.65767553992657</v>
      </c>
      <c r="F172" s="11">
        <f t="shared" si="8"/>
        <v>299.50655642059894</v>
      </c>
      <c r="G172" s="12">
        <f t="shared" si="11"/>
        <v>89704.17733892542</v>
      </c>
      <c r="H172" s="13">
        <f t="shared" si="12"/>
        <v>0.31452738066196606</v>
      </c>
      <c r="I172" s="12">
        <f t="shared" si="13"/>
        <v>0</v>
      </c>
    </row>
    <row r="173" spans="2:9" ht="12.75" customHeight="1" hidden="1">
      <c r="B173" s="191">
        <v>97</v>
      </c>
      <c r="C173" s="21">
        <f t="shared" si="7"/>
        <v>465.77637546437825</v>
      </c>
      <c r="D173" s="14">
        <f t="shared" si="9"/>
        <v>263</v>
      </c>
      <c r="E173" s="15">
        <f t="shared" si="10"/>
        <v>171.31637229328828</v>
      </c>
      <c r="F173" s="11">
        <f t="shared" si="8"/>
        <v>294.46000317108997</v>
      </c>
      <c r="G173" s="12">
        <f t="shared" si="11"/>
        <v>86706.69346751831</v>
      </c>
      <c r="H173" s="13">
        <f t="shared" si="12"/>
        <v>0.31452738066196606</v>
      </c>
      <c r="I173" s="12">
        <f t="shared" si="13"/>
        <v>0</v>
      </c>
    </row>
    <row r="174" spans="2:9" ht="12.75" customHeight="1" hidden="1">
      <c r="B174" s="191">
        <v>98</v>
      </c>
      <c r="C174" s="21">
        <f t="shared" si="7"/>
        <v>461.47835593105304</v>
      </c>
      <c r="D174" s="14">
        <f t="shared" si="9"/>
        <v>262</v>
      </c>
      <c r="E174" s="15">
        <f t="shared" si="10"/>
        <v>171.98005846420338</v>
      </c>
      <c r="F174" s="11">
        <f t="shared" si="8"/>
        <v>289.49829746684964</v>
      </c>
      <c r="G174" s="12">
        <f t="shared" si="11"/>
        <v>83809.26423620456</v>
      </c>
      <c r="H174" s="13">
        <f t="shared" si="12"/>
        <v>0.31452738066196606</v>
      </c>
      <c r="I174" s="12">
        <f t="shared" si="13"/>
        <v>0</v>
      </c>
    </row>
    <row r="175" spans="2:9" ht="12.75" customHeight="1" hidden="1">
      <c r="B175" s="191">
        <v>99</v>
      </c>
      <c r="C175" s="21">
        <f t="shared" si="7"/>
        <v>457.26745100516547</v>
      </c>
      <c r="D175" s="14">
        <f t="shared" si="9"/>
        <v>261</v>
      </c>
      <c r="E175" s="15">
        <f t="shared" si="10"/>
        <v>172.64879139271008</v>
      </c>
      <c r="F175" s="11">
        <f t="shared" si="8"/>
        <v>284.6186596124554</v>
      </c>
      <c r="G175" s="12">
        <f t="shared" si="11"/>
        <v>81007.78139959076</v>
      </c>
      <c r="H175" s="13">
        <f t="shared" si="12"/>
        <v>0.31452738066196606</v>
      </c>
      <c r="I175" s="12">
        <f t="shared" si="13"/>
        <v>0</v>
      </c>
    </row>
    <row r="176" spans="2:9" ht="12.75" customHeight="1" hidden="1">
      <c r="B176" s="191">
        <v>100</v>
      </c>
      <c r="C176" s="21">
        <f t="shared" si="7"/>
        <v>453.14104722531357</v>
      </c>
      <c r="D176" s="14">
        <f t="shared" si="9"/>
        <v>260</v>
      </c>
      <c r="E176" s="15">
        <f t="shared" si="10"/>
        <v>173.3226293010375</v>
      </c>
      <c r="F176" s="11">
        <f t="shared" si="8"/>
        <v>279.8184179242761</v>
      </c>
      <c r="G176" s="12">
        <f t="shared" si="11"/>
        <v>78298.34700964484</v>
      </c>
      <c r="H176" s="13">
        <f t="shared" si="12"/>
        <v>0.31452738066196606</v>
      </c>
      <c r="I176" s="12">
        <f t="shared" si="13"/>
        <v>0</v>
      </c>
    </row>
    <row r="177" spans="2:9" ht="12.75" customHeight="1" hidden="1">
      <c r="B177" s="191">
        <v>101</v>
      </c>
      <c r="C177" s="21">
        <f t="shared" si="7"/>
        <v>449.0966346332862</v>
      </c>
      <c r="D177" s="14">
        <f t="shared" si="9"/>
        <v>259</v>
      </c>
      <c r="E177" s="15">
        <f t="shared" si="10"/>
        <v>174.0016313106362</v>
      </c>
      <c r="F177" s="11">
        <f t="shared" si="8"/>
        <v>275.09500332265</v>
      </c>
      <c r="G177" s="12">
        <f t="shared" si="11"/>
        <v>75677.2608530888</v>
      </c>
      <c r="H177" s="13">
        <f t="shared" si="12"/>
        <v>0.31452738066196606</v>
      </c>
      <c r="I177" s="12">
        <f t="shared" si="13"/>
        <v>0</v>
      </c>
    </row>
    <row r="178" spans="2:9" ht="12.75" customHeight="1" hidden="1">
      <c r="B178" s="191">
        <v>102</v>
      </c>
      <c r="C178" s="21">
        <f t="shared" si="7"/>
        <v>445.1318017003778</v>
      </c>
      <c r="D178" s="14">
        <f t="shared" si="9"/>
        <v>258</v>
      </c>
      <c r="E178" s="15">
        <f t="shared" si="10"/>
        <v>174.6858574596052</v>
      </c>
      <c r="F178" s="11">
        <f t="shared" si="8"/>
        <v>270.44594424077263</v>
      </c>
      <c r="G178" s="12">
        <f t="shared" si="11"/>
        <v>73141.0087562831</v>
      </c>
      <c r="H178" s="13">
        <f t="shared" si="12"/>
        <v>0.31452738066196606</v>
      </c>
      <c r="I178" s="12">
        <f t="shared" si="13"/>
        <v>0</v>
      </c>
    </row>
    <row r="179" spans="2:9" ht="12.75" customHeight="1" hidden="1">
      <c r="B179" s="191">
        <v>103</v>
      </c>
      <c r="C179" s="21">
        <f t="shared" si="7"/>
        <v>441.2442305492577</v>
      </c>
      <c r="D179" s="14">
        <f t="shared" si="9"/>
        <v>257</v>
      </c>
      <c r="E179" s="15">
        <f t="shared" si="10"/>
        <v>175.3753687205255</v>
      </c>
      <c r="F179" s="11">
        <f t="shared" si="8"/>
        <v>265.8688618287322</v>
      </c>
      <c r="G179" s="12">
        <f t="shared" si="11"/>
        <v>70686.25169010548</v>
      </c>
      <c r="H179" s="13">
        <f t="shared" si="12"/>
        <v>0.31452738066196606</v>
      </c>
      <c r="I179" s="12">
        <f t="shared" si="13"/>
        <v>0</v>
      </c>
    </row>
    <row r="180" spans="2:9" ht="12.75" customHeight="1" hidden="1">
      <c r="B180" s="191">
        <v>104</v>
      </c>
      <c r="C180" s="21">
        <f t="shared" si="7"/>
        <v>437.4316924514977</v>
      </c>
      <c r="D180" s="14">
        <f t="shared" si="9"/>
        <v>256</v>
      </c>
      <c r="E180" s="15">
        <f t="shared" si="10"/>
        <v>176.07022701871196</v>
      </c>
      <c r="F180" s="11">
        <f t="shared" si="8"/>
        <v>261.36146543278574</v>
      </c>
      <c r="G180" s="12">
        <f t="shared" si="11"/>
        <v>68309.81561317325</v>
      </c>
      <c r="H180" s="13">
        <f t="shared" si="12"/>
        <v>0.31452738066196606</v>
      </c>
      <c r="I180" s="12">
        <f t="shared" si="13"/>
        <v>0</v>
      </c>
    </row>
    <row r="181" spans="2:9" ht="12.75" customHeight="1" hidden="1">
      <c r="B181" s="191">
        <v>105</v>
      </c>
      <c r="C181" s="21">
        <f t="shared" si="7"/>
        <v>433.69204358238983</v>
      </c>
      <c r="D181" s="14">
        <f t="shared" si="9"/>
        <v>255</v>
      </c>
      <c r="E181" s="15">
        <f t="shared" si="10"/>
        <v>176.77049525089402</v>
      </c>
      <c r="F181" s="11">
        <f t="shared" si="8"/>
        <v>256.92154833149584</v>
      </c>
      <c r="G181" s="12">
        <f t="shared" si="11"/>
        <v>66008.68199705315</v>
      </c>
      <c r="H181" s="13">
        <f t="shared" si="12"/>
        <v>0.31452738066196606</v>
      </c>
      <c r="I181" s="12">
        <f t="shared" si="13"/>
        <v>0</v>
      </c>
    </row>
    <row r="182" spans="2:9" ht="12.75" customHeight="1" hidden="1">
      <c r="B182" s="191">
        <v>106</v>
      </c>
      <c r="C182" s="21">
        <f t="shared" si="7"/>
        <v>430.02322101605085</v>
      </c>
      <c r="D182" s="14">
        <f t="shared" si="9"/>
        <v>254</v>
      </c>
      <c r="E182" s="15">
        <f t="shared" si="10"/>
        <v>177.47623730433827</v>
      </c>
      <c r="F182" s="11">
        <f t="shared" si="8"/>
        <v>252.54698371171258</v>
      </c>
      <c r="G182" s="12">
        <f t="shared" si="11"/>
        <v>63779.97898188402</v>
      </c>
      <c r="H182" s="13">
        <f t="shared" si="12"/>
        <v>0.31452738066196606</v>
      </c>
      <c r="I182" s="12">
        <f t="shared" si="13"/>
        <v>0</v>
      </c>
    </row>
    <row r="183" spans="2:9" ht="12.75" customHeight="1" hidden="1">
      <c r="B183" s="191">
        <v>107</v>
      </c>
      <c r="C183" s="21">
        <f t="shared" si="7"/>
        <v>426.42323894510537</v>
      </c>
      <c r="D183" s="14">
        <f t="shared" si="9"/>
        <v>253</v>
      </c>
      <c r="E183" s="15">
        <f t="shared" si="10"/>
        <v>178.18751807642403</v>
      </c>
      <c r="F183" s="11">
        <f t="shared" si="8"/>
        <v>248.23572086868134</v>
      </c>
      <c r="G183" s="12">
        <f t="shared" si="11"/>
        <v>61620.973115193876</v>
      </c>
      <c r="H183" s="13">
        <f t="shared" si="12"/>
        <v>0.31452738066196606</v>
      </c>
      <c r="I183" s="12">
        <f t="shared" si="13"/>
        <v>0</v>
      </c>
    </row>
    <row r="184" spans="2:9" ht="12.75" customHeight="1" hidden="1">
      <c r="B184" s="191">
        <v>108</v>
      </c>
      <c r="C184" s="21">
        <f t="shared" si="7"/>
        <v>422.8901851103847</v>
      </c>
      <c r="D184" s="14">
        <f t="shared" si="9"/>
        <v>252</v>
      </c>
      <c r="E184" s="15">
        <f t="shared" si="10"/>
        <v>178.904403494686</v>
      </c>
      <c r="F184" s="11">
        <f t="shared" si="8"/>
        <v>243.98578161569873</v>
      </c>
      <c r="G184" s="12">
        <f t="shared" si="11"/>
        <v>59529.06163062343</v>
      </c>
      <c r="H184" s="13">
        <f t="shared" si="12"/>
        <v>0.31452738066196606</v>
      </c>
      <c r="I184" s="12">
        <f t="shared" si="13"/>
        <v>0</v>
      </c>
    </row>
    <row r="185" spans="2:9" ht="12.75" customHeight="1" hidden="1">
      <c r="B185" s="191">
        <v>109</v>
      </c>
      <c r="C185" s="21">
        <f t="shared" si="7"/>
        <v>419.42221742715435</v>
      </c>
      <c r="D185" s="14">
        <f t="shared" si="9"/>
        <v>251</v>
      </c>
      <c r="E185" s="15">
        <f t="shared" si="10"/>
        <v>179.62696053733416</v>
      </c>
      <c r="F185" s="11">
        <f t="shared" si="8"/>
        <v>239.7952568898202</v>
      </c>
      <c r="G185" s="12">
        <f t="shared" si="11"/>
        <v>57501.76522685486</v>
      </c>
      <c r="H185" s="13">
        <f t="shared" si="12"/>
        <v>0.31452738066196606</v>
      </c>
      <c r="I185" s="12">
        <f t="shared" si="13"/>
        <v>0</v>
      </c>
    </row>
    <row r="186" spans="2:9" ht="12.75" customHeight="1" hidden="1">
      <c r="B186" s="191">
        <v>110</v>
      </c>
      <c r="C186" s="21">
        <f t="shared" si="7"/>
        <v>416.01756079536716</v>
      </c>
      <c r="D186" s="14">
        <f t="shared" si="9"/>
        <v>250</v>
      </c>
      <c r="E186" s="15">
        <f t="shared" si="10"/>
        <v>180.3552572542687</v>
      </c>
      <c r="F186" s="11">
        <f t="shared" si="8"/>
        <v>235.66230354109845</v>
      </c>
      <c r="G186" s="12">
        <f t="shared" si="11"/>
        <v>55536.72131029682</v>
      </c>
      <c r="H186" s="13">
        <f t="shared" si="12"/>
        <v>0.31452738066196606</v>
      </c>
      <c r="I186" s="12">
        <f t="shared" si="13"/>
        <v>0</v>
      </c>
    </row>
    <row r="187" spans="2:9" ht="12.75" customHeight="1" hidden="1">
      <c r="B187" s="191">
        <v>111</v>
      </c>
      <c r="C187" s="21">
        <f t="shared" si="7"/>
        <v>412.6745040823387</v>
      </c>
      <c r="D187" s="14">
        <f t="shared" si="9"/>
        <v>249</v>
      </c>
      <c r="E187" s="15">
        <f t="shared" si="10"/>
        <v>181.08936278859858</v>
      </c>
      <c r="F187" s="11">
        <f t="shared" si="8"/>
        <v>231.5851412937401</v>
      </c>
      <c r="G187" s="12">
        <f t="shared" si="11"/>
        <v>53631.677668041564</v>
      </c>
      <c r="H187" s="13">
        <f t="shared" si="12"/>
        <v>0.31452738066196606</v>
      </c>
      <c r="I187" s="12">
        <f t="shared" si="13"/>
        <v>0</v>
      </c>
    </row>
    <row r="188" spans="2:9" ht="12.75" customHeight="1" hidden="1">
      <c r="B188" s="191">
        <v>112</v>
      </c>
      <c r="C188" s="21">
        <f t="shared" si="7"/>
        <v>409.3913972670562</v>
      </c>
      <c r="D188" s="14">
        <f t="shared" si="9"/>
        <v>248</v>
      </c>
      <c r="E188" s="15">
        <f t="shared" si="10"/>
        <v>181.82934739868296</v>
      </c>
      <c r="F188" s="11">
        <f t="shared" si="8"/>
        <v>227.56204986837326</v>
      </c>
      <c r="G188" s="12">
        <f t="shared" si="11"/>
        <v>51784.486540296</v>
      </c>
      <c r="H188" s="13">
        <f t="shared" si="12"/>
        <v>0.31452738066196606</v>
      </c>
      <c r="I188" s="12">
        <f t="shared" si="13"/>
        <v>0</v>
      </c>
    </row>
    <row r="189" spans="2:9" ht="12.75" customHeight="1" hidden="1">
      <c r="B189" s="191">
        <v>113</v>
      </c>
      <c r="C189" s="21">
        <f t="shared" si="7"/>
        <v>406.16664873612586</v>
      </c>
      <c r="D189" s="14">
        <f t="shared" si="9"/>
        <v>247</v>
      </c>
      <c r="E189" s="15">
        <f t="shared" si="10"/>
        <v>182.57528248070673</v>
      </c>
      <c r="F189" s="11">
        <f t="shared" si="8"/>
        <v>223.59136625541913</v>
      </c>
      <c r="G189" s="12">
        <f t="shared" si="11"/>
        <v>49993.09906396498</v>
      </c>
      <c r="H189" s="13">
        <f t="shared" si="12"/>
        <v>0.31452738066196606</v>
      </c>
      <c r="I189" s="12">
        <f t="shared" si="13"/>
        <v>0</v>
      </c>
    </row>
    <row r="190" spans="2:9" ht="12.75" customHeight="1" hidden="1">
      <c r="B190" s="191">
        <v>114</v>
      </c>
      <c r="C190" s="21">
        <f t="shared" si="7"/>
        <v>402.9987227220336</v>
      </c>
      <c r="D190" s="14">
        <f t="shared" si="9"/>
        <v>246</v>
      </c>
      <c r="E190" s="15">
        <f t="shared" si="10"/>
        <v>183.32724059180703</v>
      </c>
      <c r="F190" s="11">
        <f t="shared" si="8"/>
        <v>219.6714821302266</v>
      </c>
      <c r="G190" s="12">
        <f t="shared" si="11"/>
        <v>48255.56006129046</v>
      </c>
      <c r="H190" s="13">
        <f t="shared" si="12"/>
        <v>0.31452738066196606</v>
      </c>
      <c r="I190" s="12">
        <f t="shared" si="13"/>
        <v>0</v>
      </c>
    </row>
    <row r="191" spans="2:9" ht="12.75" customHeight="1" hidden="1">
      <c r="B191" s="191">
        <v>115</v>
      </c>
      <c r="C191" s="21">
        <f t="shared" si="7"/>
        <v>399.8861368750662</v>
      </c>
      <c r="D191" s="14">
        <f t="shared" si="9"/>
        <v>245</v>
      </c>
      <c r="E191" s="15">
        <f t="shared" si="10"/>
        <v>184.08529547376642</v>
      </c>
      <c r="F191" s="11">
        <f t="shared" si="8"/>
        <v>215.80084140129978</v>
      </c>
      <c r="G191" s="12">
        <f t="shared" si="11"/>
        <v>46570.00314950894</v>
      </c>
      <c r="H191" s="13">
        <f t="shared" si="12"/>
        <v>0.31452738066196606</v>
      </c>
      <c r="I191" s="12">
        <f t="shared" si="13"/>
        <v>0</v>
      </c>
    </row>
    <row r="192" spans="2:9" ht="12.75" customHeight="1" hidden="1">
      <c r="B192" s="191">
        <v>116</v>
      </c>
      <c r="C192" s="21">
        <f t="shared" si="7"/>
        <v>396.8274599608153</v>
      </c>
      <c r="D192" s="14">
        <f t="shared" si="9"/>
        <v>244</v>
      </c>
      <c r="E192" s="15">
        <f t="shared" si="10"/>
        <v>184.8495220772886</v>
      </c>
      <c r="F192" s="11">
        <f t="shared" si="8"/>
        <v>211.9779378835267</v>
      </c>
      <c r="G192" s="12">
        <f t="shared" si="11"/>
        <v>44934.6461493523</v>
      </c>
      <c r="H192" s="13">
        <f t="shared" si="12"/>
        <v>0.31452738066196606</v>
      </c>
      <c r="I192" s="12">
        <f t="shared" si="13"/>
        <v>0</v>
      </c>
    </row>
    <row r="193" spans="2:9" ht="12.75" customHeight="1" hidden="1">
      <c r="B193" s="191">
        <v>117</v>
      </c>
      <c r="C193" s="21">
        <f t="shared" si="7"/>
        <v>393.8213096757672</v>
      </c>
      <c r="D193" s="14">
        <f t="shared" si="9"/>
        <v>243</v>
      </c>
      <c r="E193" s="15">
        <f t="shared" si="10"/>
        <v>185.61999658687256</v>
      </c>
      <c r="F193" s="11">
        <f t="shared" si="8"/>
        <v>208.20131308889466</v>
      </c>
      <c r="G193" s="12">
        <f t="shared" si="11"/>
        <v>43347.786771939944</v>
      </c>
      <c r="H193" s="13">
        <f t="shared" si="12"/>
        <v>0.31452738066196606</v>
      </c>
      <c r="I193" s="12">
        <f t="shared" si="13"/>
        <v>0</v>
      </c>
    </row>
    <row r="194" spans="2:9" ht="12.75" customHeight="1" hidden="1">
      <c r="B194" s="191">
        <v>118</v>
      </c>
      <c r="C194" s="21">
        <f t="shared" si="7"/>
        <v>390.8663505739563</v>
      </c>
      <c r="D194" s="14">
        <f t="shared" si="9"/>
        <v>242</v>
      </c>
      <c r="E194" s="15">
        <f t="shared" si="10"/>
        <v>186.3967964463051</v>
      </c>
      <c r="F194" s="11">
        <f t="shared" si="8"/>
        <v>204.4695541276512</v>
      </c>
      <c r="G194" s="12">
        <f t="shared" si="11"/>
        <v>41807.79856516049</v>
      </c>
      <c r="H194" s="13">
        <f t="shared" si="12"/>
        <v>0.31452738066196606</v>
      </c>
      <c r="I194" s="12">
        <f t="shared" si="13"/>
        <v>0</v>
      </c>
    </row>
    <row r="195" spans="2:9" ht="12.75" customHeight="1" hidden="1">
      <c r="B195" s="191">
        <v>119</v>
      </c>
      <c r="C195" s="21">
        <f t="shared" si="7"/>
        <v>387.96129209816405</v>
      </c>
      <c r="D195" s="14">
        <f t="shared" si="9"/>
        <v>241</v>
      </c>
      <c r="E195" s="15">
        <f t="shared" si="10"/>
        <v>187.18000038478647</v>
      </c>
      <c r="F195" s="11">
        <f t="shared" si="8"/>
        <v>200.78129171337758</v>
      </c>
      <c r="G195" s="12">
        <f t="shared" si="11"/>
        <v>40313.127102092425</v>
      </c>
      <c r="H195" s="13">
        <f t="shared" si="12"/>
        <v>0.31452738066196606</v>
      </c>
      <c r="I195" s="12">
        <f t="shared" si="13"/>
        <v>0</v>
      </c>
    </row>
    <row r="196" spans="2:9" ht="12.75" customHeight="1" hidden="1">
      <c r="B196" s="191">
        <v>120</v>
      </c>
      <c r="C196" s="21">
        <f t="shared" si="7"/>
        <v>385.1048867095513</v>
      </c>
      <c r="D196" s="14">
        <f t="shared" si="9"/>
        <v>240</v>
      </c>
      <c r="E196" s="15">
        <f t="shared" si="10"/>
        <v>187.96968844371057</v>
      </c>
      <c r="F196" s="11">
        <f t="shared" si="8"/>
        <v>197.13519826584073</v>
      </c>
      <c r="G196" s="12">
        <f t="shared" si="11"/>
        <v>38862.28639531233</v>
      </c>
      <c r="H196" s="13">
        <f t="shared" si="12"/>
        <v>0.31452738066196606</v>
      </c>
      <c r="I196" s="12">
        <f t="shared" si="13"/>
        <v>0</v>
      </c>
    </row>
    <row r="197" spans="2:9" ht="12.75" customHeight="1" hidden="1">
      <c r="B197" s="191">
        <v>121</v>
      </c>
      <c r="C197" s="21">
        <f t="shared" si="7"/>
        <v>382.2959281100429</v>
      </c>
      <c r="D197" s="14">
        <f t="shared" si="9"/>
        <v>239</v>
      </c>
      <c r="E197" s="15">
        <f t="shared" si="10"/>
        <v>188.76594200411594</v>
      </c>
      <c r="F197" s="11">
        <f t="shared" si="8"/>
        <v>193.52998610592695</v>
      </c>
      <c r="G197" s="12">
        <f t="shared" si="11"/>
        <v>37453.85552216028</v>
      </c>
      <c r="H197" s="13">
        <f t="shared" si="12"/>
        <v>0.31452738066196606</v>
      </c>
      <c r="I197" s="12">
        <f t="shared" si="13"/>
        <v>0</v>
      </c>
    </row>
    <row r="198" spans="2:9" ht="12.75" customHeight="1" hidden="1">
      <c r="B198" s="191">
        <v>122</v>
      </c>
      <c r="C198" s="21">
        <f t="shared" si="7"/>
        <v>379.5332495521281</v>
      </c>
      <c r="D198" s="14">
        <f t="shared" si="9"/>
        <v>238</v>
      </c>
      <c r="E198" s="15">
        <f t="shared" si="10"/>
        <v>189.5688438148302</v>
      </c>
      <c r="F198" s="11">
        <f t="shared" si="8"/>
        <v>189.9644057372979</v>
      </c>
      <c r="G198" s="12">
        <f t="shared" si="11"/>
        <v>36086.47544712474</v>
      </c>
      <c r="H198" s="13">
        <f t="shared" si="12"/>
        <v>0.31452738066196606</v>
      </c>
      <c r="I198" s="12">
        <f t="shared" si="13"/>
        <v>0</v>
      </c>
    </row>
    <row r="199" spans="2:9" ht="12.75" customHeight="1" hidden="1">
      <c r="B199" s="191">
        <v>123</v>
      </c>
      <c r="C199" s="21">
        <f t="shared" si="7"/>
        <v>376.8157222311182</v>
      </c>
      <c r="D199" s="14">
        <f t="shared" si="9"/>
        <v>237</v>
      </c>
      <c r="E199" s="15">
        <f t="shared" si="10"/>
        <v>190.37847802132603</v>
      </c>
      <c r="F199" s="11">
        <f t="shared" si="8"/>
        <v>186.43724420979214</v>
      </c>
      <c r="G199" s="12">
        <f t="shared" si="11"/>
        <v>34758.84602854167</v>
      </c>
      <c r="H199" s="13">
        <f t="shared" si="12"/>
        <v>0.31452738066196606</v>
      </c>
      <c r="I199" s="12">
        <f t="shared" si="13"/>
        <v>0</v>
      </c>
    </row>
    <row r="200" spans="2:9" ht="12.75" customHeight="1" hidden="1">
      <c r="B200" s="191">
        <v>124</v>
      </c>
      <c r="C200" s="21">
        <f t="shared" si="7"/>
        <v>374.14225375519277</v>
      </c>
      <c r="D200" s="14">
        <f t="shared" si="9"/>
        <v>236</v>
      </c>
      <c r="E200" s="15">
        <f t="shared" si="10"/>
        <v>191.19493019531131</v>
      </c>
      <c r="F200" s="11">
        <f t="shared" si="8"/>
        <v>182.94732355988145</v>
      </c>
      <c r="G200" s="12">
        <f t="shared" si="11"/>
        <v>33469.72319772396</v>
      </c>
      <c r="H200" s="13">
        <f t="shared" si="12"/>
        <v>0.31452738066196606</v>
      </c>
      <c r="I200" s="12">
        <f t="shared" si="13"/>
        <v>0</v>
      </c>
    </row>
    <row r="201" spans="2:9" ht="12.75" customHeight="1" hidden="1">
      <c r="B201" s="191">
        <v>125</v>
      </c>
      <c r="C201" s="21">
        <f t="shared" si="7"/>
        <v>371.5117866888829</v>
      </c>
      <c r="D201" s="14">
        <f t="shared" si="9"/>
        <v>235</v>
      </c>
      <c r="E201" s="15">
        <f t="shared" si="10"/>
        <v>192.01828736507417</v>
      </c>
      <c r="F201" s="11">
        <f t="shared" si="8"/>
        <v>179.49349932380875</v>
      </c>
      <c r="G201" s="12">
        <f t="shared" si="11"/>
        <v>32217.91629950613</v>
      </c>
      <c r="H201" s="13">
        <f t="shared" si="12"/>
        <v>0.31452738066196606</v>
      </c>
      <c r="I201" s="12">
        <f t="shared" si="13"/>
        <v>0</v>
      </c>
    </row>
    <row r="202" spans="2:9" ht="12.75" customHeight="1" hidden="1">
      <c r="B202" s="191">
        <v>126</v>
      </c>
      <c r="C202" s="21">
        <f t="shared" si="7"/>
        <v>368.92329716591786</v>
      </c>
      <c r="D202" s="14">
        <f t="shared" si="9"/>
        <v>234</v>
      </c>
      <c r="E202" s="15">
        <f t="shared" si="10"/>
        <v>192.84863804660742</v>
      </c>
      <c r="F202" s="11">
        <f t="shared" si="8"/>
        <v>176.07465911931044</v>
      </c>
      <c r="G202" s="12">
        <f t="shared" si="11"/>
        <v>31002.28558398137</v>
      </c>
      <c r="H202" s="13">
        <f t="shared" si="12"/>
        <v>0.31452738066196606</v>
      </c>
      <c r="I202" s="12">
        <f t="shared" si="13"/>
        <v>0</v>
      </c>
    </row>
    <row r="203" spans="2:9" ht="12.75" customHeight="1" hidden="1">
      <c r="B203" s="191">
        <v>127</v>
      </c>
      <c r="C203" s="21">
        <f t="shared" si="7"/>
        <v>366.37579356760136</v>
      </c>
      <c r="D203" s="14">
        <f t="shared" si="9"/>
        <v>233</v>
      </c>
      <c r="E203" s="15">
        <f t="shared" si="10"/>
        <v>193.68607227553238</v>
      </c>
      <c r="F203" s="11">
        <f t="shared" si="8"/>
        <v>172.68972129206898</v>
      </c>
      <c r="G203" s="12">
        <f t="shared" si="11"/>
        <v>29821.739839932463</v>
      </c>
      <c r="H203" s="13">
        <f t="shared" si="12"/>
        <v>0.31452738066196606</v>
      </c>
      <c r="I203" s="12">
        <f t="shared" si="13"/>
        <v>0</v>
      </c>
    </row>
    <row r="204" spans="2:9" ht="12.75" customHeight="1" hidden="1">
      <c r="B204" s="191">
        <v>128</v>
      </c>
      <c r="C204" s="21">
        <f t="shared" si="7"/>
        <v>363.8683152631405</v>
      </c>
      <c r="D204" s="14">
        <f t="shared" si="9"/>
        <v>232</v>
      </c>
      <c r="E204" s="15">
        <f t="shared" si="10"/>
        <v>194.53068163985034</v>
      </c>
      <c r="F204" s="11">
        <f t="shared" si="8"/>
        <v>169.33763362329017</v>
      </c>
      <c r="G204" s="12">
        <f t="shared" si="11"/>
        <v>28675.234161135653</v>
      </c>
      <c r="H204" s="13">
        <f t="shared" si="12"/>
        <v>0.31452738066196606</v>
      </c>
      <c r="I204" s="12">
        <f t="shared" si="13"/>
        <v>0</v>
      </c>
    </row>
    <row r="205" spans="2:9" ht="12.75" customHeight="1" hidden="1">
      <c r="B205" s="191">
        <v>129</v>
      </c>
      <c r="C205" s="21">
        <f aca="true" t="shared" si="14" ref="C205:C268">($F$25/12)*POWER((($F$25/12)+1),B205)/(POWER((($F$25/12)+1),B205)-1)*$F$27</f>
        <v>361.39993140856467</v>
      </c>
      <c r="D205" s="14">
        <f t="shared" si="9"/>
        <v>231</v>
      </c>
      <c r="E205" s="15">
        <f t="shared" si="10"/>
        <v>195.38255931354402</v>
      </c>
      <c r="F205" s="11">
        <f aca="true" t="shared" si="15" ref="F205:F268">C205-E205</f>
        <v>166.01737209502065</v>
      </c>
      <c r="G205" s="12">
        <f t="shared" si="11"/>
        <v>27561.76783733654</v>
      </c>
      <c r="H205" s="13">
        <f t="shared" si="12"/>
        <v>0.31452738066196606</v>
      </c>
      <c r="I205" s="12">
        <f t="shared" si="13"/>
        <v>0</v>
      </c>
    </row>
    <row r="206" spans="2:9" ht="12.75" customHeight="1" hidden="1">
      <c r="B206" s="191">
        <v>130</v>
      </c>
      <c r="C206" s="21">
        <f t="shared" si="14"/>
        <v>358.9697398010791</v>
      </c>
      <c r="D206" s="14">
        <f aca="true" t="shared" si="16" ref="D206:D269">IF($F$50-B206=0,1,$F$50-B206)</f>
        <v>230</v>
      </c>
      <c r="E206" s="15">
        <f aca="true" t="shared" si="17" ref="E206:E269">(2%/12)*POWER(((2%/12)+1),D206)/(POWER(((2%/12)+1),D206)-1)*(($E$11+$E$12)+((POWER((1+1/100),(($C$28*12+B206)/12))-1)*($E$11+$E$12)))</f>
        <v>196.24180009105484</v>
      </c>
      <c r="F206" s="11">
        <f t="shared" si="15"/>
        <v>162.72793971002423</v>
      </c>
      <c r="G206" s="12">
        <f aca="true" t="shared" si="18" ref="G206:G269">F206*F206</f>
        <v>26480.38236226928</v>
      </c>
      <c r="H206" s="13">
        <f aca="true" t="shared" si="19" ref="H206:H269">MIN($G$77:$G$434)</f>
        <v>0.31452738066196606</v>
      </c>
      <c r="I206" s="12">
        <f aca="true" t="shared" si="20" ref="I206:I269">IF(G206=H206,B206,0)</f>
        <v>0</v>
      </c>
    </row>
    <row r="207" spans="2:9" ht="12.75" customHeight="1" hidden="1">
      <c r="B207" s="191">
        <v>131</v>
      </c>
      <c r="C207" s="21">
        <f t="shared" si="14"/>
        <v>356.5768657858896</v>
      </c>
      <c r="D207" s="14">
        <f t="shared" si="16"/>
        <v>229</v>
      </c>
      <c r="E207" s="15">
        <f t="shared" si="17"/>
        <v>197.10850042266378</v>
      </c>
      <c r="F207" s="11">
        <f t="shared" si="15"/>
        <v>159.46836536322581</v>
      </c>
      <c r="G207" s="12">
        <f t="shared" si="18"/>
        <v>25430.15955161928</v>
      </c>
      <c r="H207" s="13">
        <f t="shared" si="19"/>
        <v>0.31452738066196606</v>
      </c>
      <c r="I207" s="12">
        <f t="shared" si="20"/>
        <v>0</v>
      </c>
    </row>
    <row r="208" spans="2:9" ht="12.75" customHeight="1" hidden="1">
      <c r="B208" s="191">
        <v>132</v>
      </c>
      <c r="C208" s="21">
        <f t="shared" si="14"/>
        <v>354.2204612127185</v>
      </c>
      <c r="D208" s="14">
        <f t="shared" si="16"/>
        <v>228</v>
      </c>
      <c r="E208" s="15">
        <f t="shared" si="17"/>
        <v>197.9827584508053</v>
      </c>
      <c r="F208" s="11">
        <f t="shared" si="15"/>
        <v>156.23770276191317</v>
      </c>
      <c r="G208" s="12">
        <f t="shared" si="18"/>
        <v>24410.21976431993</v>
      </c>
      <c r="H208" s="13">
        <f t="shared" si="19"/>
        <v>0.31452738066196606</v>
      </c>
      <c r="I208" s="12">
        <f t="shared" si="20"/>
        <v>0</v>
      </c>
    </row>
    <row r="209" spans="2:9" ht="12.75" customHeight="1" hidden="1">
      <c r="B209" s="191">
        <v>133</v>
      </c>
      <c r="C209" s="21">
        <f t="shared" si="14"/>
        <v>351.89970343939353</v>
      </c>
      <c r="D209" s="14">
        <f t="shared" si="16"/>
        <v>227</v>
      </c>
      <c r="E209" s="15">
        <f t="shared" si="17"/>
        <v>198.86467404733781</v>
      </c>
      <c r="F209" s="11">
        <f t="shared" si="15"/>
        <v>153.03502939205572</v>
      </c>
      <c r="G209" s="12">
        <f t="shared" si="18"/>
        <v>23419.720221027357</v>
      </c>
      <c r="H209" s="13">
        <f t="shared" si="19"/>
        <v>0.31452738066196606</v>
      </c>
      <c r="I209" s="12">
        <f t="shared" si="20"/>
        <v>0</v>
      </c>
    </row>
    <row r="210" spans="2:9" ht="12.75" customHeight="1" hidden="1">
      <c r="B210" s="191">
        <v>134</v>
      </c>
      <c r="C210" s="21">
        <f t="shared" si="14"/>
        <v>349.61379438005315</v>
      </c>
      <c r="D210" s="14">
        <f t="shared" si="16"/>
        <v>226</v>
      </c>
      <c r="E210" s="15">
        <f t="shared" si="17"/>
        <v>199.75434885180607</v>
      </c>
      <c r="F210" s="11">
        <f t="shared" si="15"/>
        <v>149.85944552824708</v>
      </c>
      <c r="G210" s="12">
        <f t="shared" si="18"/>
        <v>22457.853414033652</v>
      </c>
      <c r="H210" s="13">
        <f t="shared" si="19"/>
        <v>0.31452738066196606</v>
      </c>
      <c r="I210" s="12">
        <f t="shared" si="20"/>
        <v>0</v>
      </c>
    </row>
    <row r="211" spans="2:9" ht="12.75" customHeight="1" hidden="1">
      <c r="B211" s="191">
        <v>135</v>
      </c>
      <c r="C211" s="21">
        <f t="shared" si="14"/>
        <v>347.36195959565396</v>
      </c>
      <c r="D211" s="14">
        <f t="shared" si="16"/>
        <v>225</v>
      </c>
      <c r="E211" s="15">
        <f t="shared" si="17"/>
        <v>200.65188631072286</v>
      </c>
      <c r="F211" s="11">
        <f t="shared" si="15"/>
        <v>146.7100732849311</v>
      </c>
      <c r="G211" s="12">
        <f t="shared" si="18"/>
        <v>21523.845603269852</v>
      </c>
      <c r="H211" s="13">
        <f t="shared" si="19"/>
        <v>0.31452738066196606</v>
      </c>
      <c r="I211" s="12">
        <f t="shared" si="20"/>
        <v>0</v>
      </c>
    </row>
    <row r="212" spans="2:9" ht="12.75" customHeight="1" hidden="1">
      <c r="B212" s="191">
        <v>136</v>
      </c>
      <c r="C212" s="21">
        <f t="shared" si="14"/>
        <v>345.1434474246025</v>
      </c>
      <c r="D212" s="14">
        <f t="shared" si="16"/>
        <v>224</v>
      </c>
      <c r="E212" s="15">
        <f t="shared" si="17"/>
        <v>201.5573917179035</v>
      </c>
      <c r="F212" s="11">
        <f t="shared" si="15"/>
        <v>143.58605570669903</v>
      </c>
      <c r="G212" s="12">
        <f t="shared" si="18"/>
        <v>20616.955393407276</v>
      </c>
      <c r="H212" s="13">
        <f t="shared" si="19"/>
        <v>0.31452738066196606</v>
      </c>
      <c r="I212" s="12">
        <f t="shared" si="20"/>
        <v>0</v>
      </c>
    </row>
    <row r="213" spans="2:9" ht="12.75" customHeight="1" hidden="1">
      <c r="B213" s="191">
        <v>137</v>
      </c>
      <c r="C213" s="21">
        <f t="shared" si="14"/>
        <v>342.95752815146005</v>
      </c>
      <c r="D213" s="14">
        <f t="shared" si="16"/>
        <v>223</v>
      </c>
      <c r="E213" s="15">
        <f t="shared" si="17"/>
        <v>202.4709722558848</v>
      </c>
      <c r="F213" s="11">
        <f t="shared" si="15"/>
        <v>140.48655589557526</v>
      </c>
      <c r="G213" s="12">
        <f t="shared" si="18"/>
        <v>19736.472387400594</v>
      </c>
      <c r="H213" s="13">
        <f t="shared" si="19"/>
        <v>0.31452738066196606</v>
      </c>
      <c r="I213" s="12">
        <f t="shared" si="20"/>
        <v>0</v>
      </c>
    </row>
    <row r="214" spans="2:9" ht="12.75" customHeight="1" hidden="1">
      <c r="B214" s="191">
        <v>138</v>
      </c>
      <c r="C214" s="21">
        <f t="shared" si="14"/>
        <v>340.803493211795</v>
      </c>
      <c r="D214" s="14">
        <f t="shared" si="16"/>
        <v>222</v>
      </c>
      <c r="E214" s="15">
        <f t="shared" si="17"/>
        <v>203.39273703846368</v>
      </c>
      <c r="F214" s="11">
        <f t="shared" si="15"/>
        <v>137.41075617333132</v>
      </c>
      <c r="G214" s="12">
        <f t="shared" si="18"/>
        <v>18881.71591212671</v>
      </c>
      <c r="H214" s="13">
        <f t="shared" si="19"/>
        <v>0.31452738066196606</v>
      </c>
      <c r="I214" s="12">
        <f t="shared" si="20"/>
        <v>0</v>
      </c>
    </row>
    <row r="215" spans="2:9" ht="12.75" customHeight="1" hidden="1">
      <c r="B215" s="191">
        <v>139</v>
      </c>
      <c r="C215" s="21">
        <f t="shared" si="14"/>
        <v>338.68065443135225</v>
      </c>
      <c r="D215" s="14">
        <f t="shared" si="16"/>
        <v>221</v>
      </c>
      <c r="E215" s="15">
        <f t="shared" si="17"/>
        <v>204.32279715439145</v>
      </c>
      <c r="F215" s="11">
        <f t="shared" si="15"/>
        <v>134.3578572769608</v>
      </c>
      <c r="G215" s="12">
        <f t="shared" si="18"/>
        <v>18052.03381205617</v>
      </c>
      <c r="H215" s="13">
        <f t="shared" si="19"/>
        <v>0.31452738066196606</v>
      </c>
      <c r="I215" s="12">
        <f t="shared" si="20"/>
        <v>0</v>
      </c>
    </row>
    <row r="216" spans="2:9" ht="12.75" customHeight="1" hidden="1">
      <c r="B216" s="191">
        <v>140</v>
      </c>
      <c r="C216" s="21">
        <f t="shared" si="14"/>
        <v>336.588343297835</v>
      </c>
      <c r="D216" s="14">
        <f t="shared" si="16"/>
        <v>220</v>
      </c>
      <c r="E216" s="15">
        <f t="shared" si="17"/>
        <v>205.26126571225913</v>
      </c>
      <c r="F216" s="11">
        <f t="shared" si="15"/>
        <v>131.3270775855759</v>
      </c>
      <c r="G216" s="12">
        <f t="shared" si="18"/>
        <v>17246.80130716787</v>
      </c>
      <c r="H216" s="13">
        <f t="shared" si="19"/>
        <v>0.31452738066196606</v>
      </c>
      <c r="I216" s="12">
        <f t="shared" si="20"/>
        <v>0</v>
      </c>
    </row>
    <row r="217" spans="2:9" ht="12.75" customHeight="1" hidden="1">
      <c r="B217" s="191">
        <v>141</v>
      </c>
      <c r="C217" s="21">
        <f t="shared" si="14"/>
        <v>334.5259102636713</v>
      </c>
      <c r="D217" s="14">
        <f t="shared" si="16"/>
        <v>219</v>
      </c>
      <c r="E217" s="15">
        <f t="shared" si="17"/>
        <v>206.2082578866117</v>
      </c>
      <c r="F217" s="11">
        <f t="shared" si="15"/>
        <v>128.31765237705957</v>
      </c>
      <c r="G217" s="12">
        <f t="shared" si="18"/>
        <v>16465.419911559904</v>
      </c>
      <c r="H217" s="13">
        <f t="shared" si="19"/>
        <v>0.31452738066196606</v>
      </c>
      <c r="I217" s="12">
        <f t="shared" si="20"/>
        <v>0</v>
      </c>
    </row>
    <row r="218" spans="2:9" ht="12.75" customHeight="1" hidden="1">
      <c r="B218" s="191">
        <v>142</v>
      </c>
      <c r="C218" s="21">
        <f t="shared" si="14"/>
        <v>332.4927240782415</v>
      </c>
      <c r="D218" s="14">
        <f t="shared" si="16"/>
        <v>218</v>
      </c>
      <c r="E218" s="15">
        <f t="shared" si="17"/>
        <v>207.1638909653334</v>
      </c>
      <c r="F218" s="11">
        <f t="shared" si="15"/>
        <v>125.32883311290811</v>
      </c>
      <c r="G218" s="12">
        <f t="shared" si="18"/>
        <v>15707.316409443174</v>
      </c>
      <c r="H218" s="13">
        <f t="shared" si="19"/>
        <v>0.31452738066196606</v>
      </c>
      <c r="I218" s="12">
        <f t="shared" si="20"/>
        <v>0</v>
      </c>
    </row>
    <row r="219" spans="2:9" ht="12.75" customHeight="1" hidden="1">
      <c r="B219" s="191">
        <v>143</v>
      </c>
      <c r="C219" s="21">
        <f t="shared" si="14"/>
        <v>330.48817114812664</v>
      </c>
      <c r="D219" s="14">
        <f t="shared" si="16"/>
        <v>217</v>
      </c>
      <c r="E219" s="15">
        <f t="shared" si="17"/>
        <v>208.12828439834158</v>
      </c>
      <c r="F219" s="11">
        <f t="shared" si="15"/>
        <v>122.35988674978506</v>
      </c>
      <c r="G219" s="12">
        <f t="shared" si="18"/>
        <v>14971.941885420227</v>
      </c>
      <c r="H219" s="13">
        <f t="shared" si="19"/>
        <v>0.31452738066196606</v>
      </c>
      <c r="I219" s="12">
        <f t="shared" si="20"/>
        <v>0</v>
      </c>
    </row>
    <row r="220" spans="2:9" ht="12.75" customHeight="1" hidden="1">
      <c r="B220" s="191">
        <v>144</v>
      </c>
      <c r="C220" s="21">
        <f t="shared" si="14"/>
        <v>328.5116549240087</v>
      </c>
      <c r="D220" s="14">
        <f t="shared" si="16"/>
        <v>216</v>
      </c>
      <c r="E220" s="15">
        <f t="shared" si="17"/>
        <v>209.10155984763375</v>
      </c>
      <c r="F220" s="11">
        <f t="shared" si="15"/>
        <v>119.41009507637497</v>
      </c>
      <c r="G220" s="12">
        <f t="shared" si="18"/>
        <v>14258.77080614891</v>
      </c>
      <c r="H220" s="13">
        <f t="shared" si="19"/>
        <v>0.31452738066196606</v>
      </c>
      <c r="I220" s="12">
        <f t="shared" si="20"/>
        <v>0</v>
      </c>
    </row>
    <row r="221" spans="2:9" ht="12.75" customHeight="1" hidden="1">
      <c r="B221" s="191">
        <v>145</v>
      </c>
      <c r="C221" s="21">
        <f t="shared" si="14"/>
        <v>326.56259531294535</v>
      </c>
      <c r="D221" s="14">
        <f t="shared" si="16"/>
        <v>215</v>
      </c>
      <c r="E221" s="15">
        <f t="shared" si="17"/>
        <v>210.0838412387323</v>
      </c>
      <c r="F221" s="11">
        <f t="shared" si="15"/>
        <v>116.47875407421304</v>
      </c>
      <c r="G221" s="12">
        <f t="shared" si="18"/>
        <v>13567.300150681001</v>
      </c>
      <c r="H221" s="13">
        <f t="shared" si="19"/>
        <v>0.31452738066196606</v>
      </c>
      <c r="I221" s="12">
        <f t="shared" si="20"/>
        <v>0</v>
      </c>
    </row>
    <row r="222" spans="2:9" ht="12.75" customHeight="1" hidden="1">
      <c r="B222" s="191">
        <v>146</v>
      </c>
      <c r="C222" s="21">
        <f t="shared" si="14"/>
        <v>324.64042811479396</v>
      </c>
      <c r="D222" s="14">
        <f t="shared" si="16"/>
        <v>214</v>
      </c>
      <c r="E222" s="15">
        <f t="shared" si="17"/>
        <v>211.07525481356913</v>
      </c>
      <c r="F222" s="11">
        <f t="shared" si="15"/>
        <v>113.56517330122483</v>
      </c>
      <c r="G222" s="12">
        <f t="shared" si="18"/>
        <v>12897.04858693723</v>
      </c>
      <c r="H222" s="13">
        <f t="shared" si="19"/>
        <v>0.31452738066196606</v>
      </c>
      <c r="I222" s="12">
        <f t="shared" si="20"/>
        <v>0</v>
      </c>
    </row>
    <row r="223" spans="2:9" ht="12.75" customHeight="1" hidden="1">
      <c r="B223" s="191">
        <v>147</v>
      </c>
      <c r="C223" s="21">
        <f t="shared" si="14"/>
        <v>322.74460448164166</v>
      </c>
      <c r="D223" s="14">
        <f t="shared" si="16"/>
        <v>213</v>
      </c>
      <c r="E223" s="15">
        <f t="shared" si="17"/>
        <v>212.07592918486213</v>
      </c>
      <c r="F223" s="11">
        <f t="shared" si="15"/>
        <v>110.66867529677953</v>
      </c>
      <c r="G223" s="12">
        <f t="shared" si="18"/>
        <v>12247.555691944019</v>
      </c>
      <c r="H223" s="13">
        <f t="shared" si="19"/>
        <v>0.31452738066196606</v>
      </c>
      <c r="I223" s="12">
        <f t="shared" si="20"/>
        <v>0</v>
      </c>
    </row>
    <row r="224" spans="2:9" ht="12.75" customHeight="1" hidden="1">
      <c r="B224" s="191">
        <v>148</v>
      </c>
      <c r="C224" s="21">
        <f t="shared" si="14"/>
        <v>320.87459039914734</v>
      </c>
      <c r="D224" s="14">
        <f t="shared" si="16"/>
        <v>212</v>
      </c>
      <c r="E224" s="15">
        <f t="shared" si="17"/>
        <v>213.08599539203084</v>
      </c>
      <c r="F224" s="11">
        <f t="shared" si="15"/>
        <v>107.7885950071165</v>
      </c>
      <c r="G224" s="12">
        <f t="shared" si="18"/>
        <v>11618.38121360818</v>
      </c>
      <c r="H224" s="13">
        <f t="shared" si="19"/>
        <v>0.31452738066196606</v>
      </c>
      <c r="I224" s="12">
        <f t="shared" si="20"/>
        <v>0</v>
      </c>
    </row>
    <row r="225" spans="2:9" ht="12.75" customHeight="1" hidden="1">
      <c r="B225" s="191">
        <v>149</v>
      </c>
      <c r="C225" s="21">
        <f t="shared" si="14"/>
        <v>319.0298661887723</v>
      </c>
      <c r="D225" s="14">
        <f t="shared" si="16"/>
        <v>211</v>
      </c>
      <c r="E225" s="15">
        <f t="shared" si="17"/>
        <v>214.10558695869986</v>
      </c>
      <c r="F225" s="11">
        <f t="shared" si="15"/>
        <v>104.92427923007244</v>
      </c>
      <c r="G225" s="12">
        <f t="shared" si="18"/>
        <v>11009.104371950212</v>
      </c>
      <c r="H225" s="13">
        <f t="shared" si="19"/>
        <v>0.31452738066196606</v>
      </c>
      <c r="I225" s="12">
        <f t="shared" si="20"/>
        <v>0</v>
      </c>
    </row>
    <row r="226" spans="2:9" ht="12.75" customHeight="1" hidden="1">
      <c r="B226" s="191">
        <v>150</v>
      </c>
      <c r="C226" s="21">
        <f t="shared" si="14"/>
        <v>317.2099260299192</v>
      </c>
      <c r="D226" s="14">
        <f t="shared" si="16"/>
        <v>210</v>
      </c>
      <c r="E226" s="15">
        <f t="shared" si="17"/>
        <v>215.13483995184717</v>
      </c>
      <c r="F226" s="11">
        <f t="shared" si="15"/>
        <v>102.07508607807202</v>
      </c>
      <c r="G226" s="12">
        <f t="shared" si="18"/>
        <v>10419.323197845812</v>
      </c>
      <c r="H226" s="13">
        <f t="shared" si="19"/>
        <v>0.31452738066196606</v>
      </c>
      <c r="I226" s="12">
        <f t="shared" si="20"/>
        <v>0</v>
      </c>
    </row>
    <row r="227" spans="2:9" ht="12.75" customHeight="1" hidden="1">
      <c r="B227" s="191">
        <v>151</v>
      </c>
      <c r="C227" s="21">
        <f t="shared" si="14"/>
        <v>315.4142775010607</v>
      </c>
      <c r="D227" s="14">
        <f t="shared" si="16"/>
        <v>209</v>
      </c>
      <c r="E227" s="15">
        <f t="shared" si="17"/>
        <v>216.17389304265006</v>
      </c>
      <c r="F227" s="11">
        <f t="shared" si="15"/>
        <v>99.24038445841066</v>
      </c>
      <c r="G227" s="12">
        <f t="shared" si="18"/>
        <v>9848.653907453156</v>
      </c>
      <c r="H227" s="13">
        <f t="shared" si="19"/>
        <v>0.31452738066196606</v>
      </c>
      <c r="I227" s="12">
        <f t="shared" si="20"/>
        <v>0</v>
      </c>
    </row>
    <row r="228" spans="2:9" ht="12.75" customHeight="1" hidden="1">
      <c r="B228" s="191">
        <v>152</v>
      </c>
      <c r="C228" s="21">
        <f t="shared" si="14"/>
        <v>313.64244113898</v>
      </c>
      <c r="D228" s="14">
        <f t="shared" si="16"/>
        <v>208</v>
      </c>
      <c r="E228" s="15">
        <f t="shared" si="17"/>
        <v>217.22288756908628</v>
      </c>
      <c r="F228" s="11">
        <f t="shared" si="15"/>
        <v>96.41955356989374</v>
      </c>
      <c r="G228" s="12">
        <f t="shared" si="18"/>
        <v>9296.730310617608</v>
      </c>
      <c r="H228" s="13">
        <f t="shared" si="19"/>
        <v>0.31452738066196606</v>
      </c>
      <c r="I228" s="12">
        <f t="shared" si="20"/>
        <v>0</v>
      </c>
    </row>
    <row r="229" spans="2:9" ht="12.75" customHeight="1" hidden="1">
      <c r="B229" s="191">
        <v>153</v>
      </c>
      <c r="C229" s="21">
        <f t="shared" si="14"/>
        <v>311.8939500152975</v>
      </c>
      <c r="D229" s="14">
        <f t="shared" si="16"/>
        <v>207</v>
      </c>
      <c r="E229" s="15">
        <f t="shared" si="17"/>
        <v>218.2819676003489</v>
      </c>
      <c r="F229" s="11">
        <f t="shared" si="15"/>
        <v>93.61198241494859</v>
      </c>
      <c r="G229" s="12">
        <f t="shared" si="18"/>
        <v>8763.203251656643</v>
      </c>
      <c r="H229" s="13">
        <f t="shared" si="19"/>
        <v>0.31452738066196606</v>
      </c>
      <c r="I229" s="12">
        <f t="shared" si="20"/>
        <v>0</v>
      </c>
    </row>
    <row r="230" spans="2:9" ht="12.75" customHeight="1" hidden="1">
      <c r="B230" s="191">
        <v>154</v>
      </c>
      <c r="C230" s="21">
        <f t="shared" si="14"/>
        <v>310.16834932949433</v>
      </c>
      <c r="D230" s="14">
        <f t="shared" si="16"/>
        <v>206</v>
      </c>
      <c r="E230" s="15">
        <f t="shared" si="17"/>
        <v>219.3512800031384</v>
      </c>
      <c r="F230" s="11">
        <f t="shared" si="15"/>
        <v>90.81706932635592</v>
      </c>
      <c r="G230" s="12">
        <f t="shared" si="18"/>
        <v>8247.740081028138</v>
      </c>
      <c r="H230" s="13">
        <f t="shared" si="19"/>
        <v>0.31452738066196606</v>
      </c>
      <c r="I230" s="12">
        <f t="shared" si="20"/>
        <v>0</v>
      </c>
    </row>
    <row r="231" spans="2:9" ht="12.75" customHeight="1" hidden="1">
      <c r="B231" s="191">
        <v>155</v>
      </c>
      <c r="C231" s="21">
        <f t="shared" si="14"/>
        <v>308.4651960176925</v>
      </c>
      <c r="D231" s="14">
        <f t="shared" si="16"/>
        <v>205</v>
      </c>
      <c r="E231" s="15">
        <f t="shared" si="17"/>
        <v>220.43097450989467</v>
      </c>
      <c r="F231" s="11">
        <f t="shared" si="15"/>
        <v>88.03422150779784</v>
      </c>
      <c r="G231" s="12">
        <f t="shared" si="18"/>
        <v>7750.024156484015</v>
      </c>
      <c r="H231" s="13">
        <f t="shared" si="19"/>
        <v>0.31452738066196606</v>
      </c>
      <c r="I231" s="12">
        <f t="shared" si="20"/>
        <v>0</v>
      </c>
    </row>
    <row r="232" spans="2:9" ht="12.75" customHeight="1" hidden="1">
      <c r="B232" s="191">
        <v>156</v>
      </c>
      <c r="C232" s="21">
        <f t="shared" si="14"/>
        <v>306.7840583764801</v>
      </c>
      <c r="D232" s="14">
        <f t="shared" si="16"/>
        <v>204</v>
      </c>
      <c r="E232" s="15">
        <f t="shared" si="17"/>
        <v>221.52120378903535</v>
      </c>
      <c r="F232" s="11">
        <f t="shared" si="15"/>
        <v>85.26285458744476</v>
      </c>
      <c r="G232" s="12">
        <f t="shared" si="18"/>
        <v>7269.7543723997505</v>
      </c>
      <c r="H232" s="13">
        <f t="shared" si="19"/>
        <v>0.31452738066196606</v>
      </c>
      <c r="I232" s="12">
        <f t="shared" si="20"/>
        <v>0</v>
      </c>
    </row>
    <row r="233" spans="2:9" ht="12.75" customHeight="1" hidden="1">
      <c r="B233" s="191">
        <v>157</v>
      </c>
      <c r="C233" s="21">
        <f t="shared" si="14"/>
        <v>305.1245157011123</v>
      </c>
      <c r="D233" s="14">
        <f t="shared" si="16"/>
        <v>203</v>
      </c>
      <c r="E233" s="15">
        <f t="shared" si="17"/>
        <v>222.62212351727084</v>
      </c>
      <c r="F233" s="11">
        <f t="shared" si="15"/>
        <v>82.50239218384144</v>
      </c>
      <c r="G233" s="12">
        <f t="shared" si="18"/>
        <v>6806.64471605638</v>
      </c>
      <c r="H233" s="13">
        <f t="shared" si="19"/>
        <v>0.31452738066196606</v>
      </c>
      <c r="I233" s="12">
        <f t="shared" si="20"/>
        <v>0</v>
      </c>
    </row>
    <row r="234" spans="2:9" ht="12.75" customHeight="1" hidden="1">
      <c r="B234" s="191">
        <v>158</v>
      </c>
      <c r="C234" s="21">
        <f t="shared" si="14"/>
        <v>303.4861579374536</v>
      </c>
      <c r="D234" s="14">
        <f t="shared" si="16"/>
        <v>202</v>
      </c>
      <c r="E234" s="15">
        <f t="shared" si="17"/>
        <v>223.73389245406716</v>
      </c>
      <c r="F234" s="11">
        <f t="shared" si="15"/>
        <v>79.75226548338642</v>
      </c>
      <c r="G234" s="12">
        <f t="shared" si="18"/>
        <v>6360.42384973255</v>
      </c>
      <c r="H234" s="13">
        <f t="shared" si="19"/>
        <v>0.31452738066196606</v>
      </c>
      <c r="I234" s="12">
        <f t="shared" si="20"/>
        <v>0</v>
      </c>
    </row>
    <row r="235" spans="2:9" ht="12.75" customHeight="1" hidden="1">
      <c r="B235" s="191">
        <v>159</v>
      </c>
      <c r="C235" s="21">
        <f t="shared" si="14"/>
        <v>301.8685853470523</v>
      </c>
      <c r="D235" s="14">
        <f t="shared" si="16"/>
        <v>201</v>
      </c>
      <c r="E235" s="15">
        <f t="shared" si="17"/>
        <v>224.85667251833092</v>
      </c>
      <c r="F235" s="11">
        <f t="shared" si="15"/>
        <v>77.01191282872139</v>
      </c>
      <c r="G235" s="12">
        <f t="shared" si="18"/>
        <v>5930.8347175385825</v>
      </c>
      <c r="H235" s="13">
        <f t="shared" si="19"/>
        <v>0.31452738066196606</v>
      </c>
      <c r="I235" s="12">
        <f t="shared" si="20"/>
        <v>0</v>
      </c>
    </row>
    <row r="236" spans="2:9" ht="12.75" customHeight="1" hidden="1">
      <c r="B236" s="191">
        <v>160</v>
      </c>
      <c r="C236" s="21">
        <f t="shared" si="14"/>
        <v>300.27140818477574</v>
      </c>
      <c r="D236" s="14">
        <f t="shared" si="16"/>
        <v>200</v>
      </c>
      <c r="E236" s="15">
        <f t="shared" si="17"/>
        <v>225.99062886739583</v>
      </c>
      <c r="F236" s="11">
        <f t="shared" si="15"/>
        <v>74.28077931737991</v>
      </c>
      <c r="G236" s="12">
        <f t="shared" si="18"/>
        <v>5517.634175997295</v>
      </c>
      <c r="H236" s="13">
        <f t="shared" si="19"/>
        <v>0.31452738066196606</v>
      </c>
      <c r="I236" s="12">
        <f t="shared" si="20"/>
        <v>0</v>
      </c>
    </row>
    <row r="237" spans="2:9" ht="12.75" customHeight="1" hidden="1">
      <c r="B237" s="191">
        <v>161</v>
      </c>
      <c r="C237" s="21">
        <f t="shared" si="14"/>
        <v>298.694246388458</v>
      </c>
      <c r="D237" s="14">
        <f t="shared" si="16"/>
        <v>199</v>
      </c>
      <c r="E237" s="15">
        <f t="shared" si="17"/>
        <v>227.13592997839027</v>
      </c>
      <c r="F237" s="11">
        <f t="shared" si="15"/>
        <v>71.55831641006773</v>
      </c>
      <c r="G237" s="12">
        <f t="shared" si="18"/>
        <v>5120.592647443369</v>
      </c>
      <c r="H237" s="13">
        <f t="shared" si="19"/>
        <v>0.31452738066196606</v>
      </c>
      <c r="I237" s="12">
        <f t="shared" si="20"/>
        <v>0</v>
      </c>
    </row>
    <row r="238" spans="2:9" ht="12.75" customHeight="1" hidden="1">
      <c r="B238" s="191">
        <v>162</v>
      </c>
      <c r="C238" s="21">
        <f t="shared" si="14"/>
        <v>297.1367292800448</v>
      </c>
      <c r="D238" s="14">
        <f t="shared" si="16"/>
        <v>198</v>
      </c>
      <c r="E238" s="15">
        <f t="shared" si="17"/>
        <v>228.29274773206993</v>
      </c>
      <c r="F238" s="11">
        <f t="shared" si="15"/>
        <v>68.84398154797486</v>
      </c>
      <c r="G238" s="12">
        <f t="shared" si="18"/>
        <v>4739.493795377904</v>
      </c>
      <c r="H238" s="13">
        <f t="shared" si="19"/>
        <v>0.31452738066196606</v>
      </c>
      <c r="I238" s="12">
        <f t="shared" si="20"/>
        <v>0</v>
      </c>
    </row>
    <row r="239" spans="2:9" ht="12.75" customHeight="1" hidden="1">
      <c r="B239" s="191">
        <v>163</v>
      </c>
      <c r="C239" s="21">
        <f t="shared" si="14"/>
        <v>295.59849527773554</v>
      </c>
      <c r="D239" s="14">
        <f t="shared" si="16"/>
        <v>197</v>
      </c>
      <c r="E239" s="15">
        <f t="shared" si="17"/>
        <v>229.46125749920495</v>
      </c>
      <c r="F239" s="11">
        <f t="shared" si="15"/>
        <v>66.13723777853059</v>
      </c>
      <c r="G239" s="12">
        <f t="shared" si="18"/>
        <v>4374.134220973894</v>
      </c>
      <c r="H239" s="13">
        <f t="shared" si="19"/>
        <v>0.31452738066196606</v>
      </c>
      <c r="I239" s="12">
        <f t="shared" si="20"/>
        <v>0</v>
      </c>
    </row>
    <row r="240" spans="2:9" ht="12.75" customHeight="1" hidden="1">
      <c r="B240" s="191">
        <v>164</v>
      </c>
      <c r="C240" s="21">
        <f t="shared" si="14"/>
        <v>294.0791916186598</v>
      </c>
      <c r="D240" s="14">
        <f t="shared" si="16"/>
        <v>196</v>
      </c>
      <c r="E240" s="15">
        <f t="shared" si="17"/>
        <v>230.64163822961055</v>
      </c>
      <c r="F240" s="11">
        <f t="shared" si="15"/>
        <v>63.43755338904927</v>
      </c>
      <c r="G240" s="12">
        <f t="shared" si="18"/>
        <v>4024.3231799884766</v>
      </c>
      <c r="H240" s="13">
        <f t="shared" si="19"/>
        <v>0.31452738066196606</v>
      </c>
      <c r="I240" s="12">
        <f t="shared" si="20"/>
        <v>0</v>
      </c>
    </row>
    <row r="241" spans="2:9" ht="12.75" customHeight="1" hidden="1">
      <c r="B241" s="191">
        <v>165</v>
      </c>
      <c r="C241" s="21">
        <f t="shared" si="14"/>
        <v>292.57847409163594</v>
      </c>
      <c r="D241" s="14">
        <f t="shared" si="16"/>
        <v>195</v>
      </c>
      <c r="E241" s="15">
        <f t="shared" si="17"/>
        <v>231.83407254391784</v>
      </c>
      <c r="F241" s="11">
        <f t="shared" si="15"/>
        <v>60.7444015477181</v>
      </c>
      <c r="G241" s="12">
        <f t="shared" si="18"/>
        <v>3689.882319390417</v>
      </c>
      <c r="H241" s="13">
        <f t="shared" si="19"/>
        <v>0.31452738066196606</v>
      </c>
      <c r="I241" s="12">
        <f t="shared" si="20"/>
        <v>0</v>
      </c>
    </row>
    <row r="242" spans="2:9" ht="12.75" customHeight="1" hidden="1">
      <c r="B242" s="191">
        <v>166</v>
      </c>
      <c r="C242" s="21">
        <f t="shared" si="14"/>
        <v>291.0960067795914</v>
      </c>
      <c r="D242" s="14">
        <f t="shared" si="16"/>
        <v>194</v>
      </c>
      <c r="E242" s="15">
        <f t="shared" si="17"/>
        <v>233.03874682818198</v>
      </c>
      <c r="F242" s="11">
        <f t="shared" si="15"/>
        <v>58.05725995140941</v>
      </c>
      <c r="G242" s="12">
        <f t="shared" si="18"/>
        <v>3370.6454330655265</v>
      </c>
      <c r="H242" s="13">
        <f t="shared" si="19"/>
        <v>0.31452738066196606</v>
      </c>
      <c r="I242" s="12">
        <f t="shared" si="20"/>
        <v>0</v>
      </c>
    </row>
    <row r="243" spans="2:9" ht="12.75" customHeight="1" hidden="1">
      <c r="B243" s="191">
        <v>167</v>
      </c>
      <c r="C243" s="21">
        <f t="shared" si="14"/>
        <v>289.63146181123557</v>
      </c>
      <c r="D243" s="14">
        <f t="shared" si="16"/>
        <v>193</v>
      </c>
      <c r="E243" s="15">
        <f t="shared" si="17"/>
        <v>234.25585133143227</v>
      </c>
      <c r="F243" s="11">
        <f t="shared" si="15"/>
        <v>55.3756104798033</v>
      </c>
      <c r="G243" s="12">
        <f t="shared" si="18"/>
        <v>3066.458236010901</v>
      </c>
      <c r="H243" s="13">
        <f t="shared" si="19"/>
        <v>0.31452738066196606</v>
      </c>
      <c r="I243" s="12">
        <f t="shared" si="20"/>
        <v>0</v>
      </c>
    </row>
    <row r="244" spans="2:9" ht="12.75" customHeight="1" hidden="1">
      <c r="B244" s="191">
        <v>168</v>
      </c>
      <c r="C244" s="21">
        <f t="shared" si="14"/>
        <v>288.1845191216018</v>
      </c>
      <c r="D244" s="14">
        <f t="shared" si="16"/>
        <v>192</v>
      </c>
      <c r="E244" s="15">
        <f t="shared" si="17"/>
        <v>235.4855802662706</v>
      </c>
      <c r="F244" s="11">
        <f t="shared" si="15"/>
        <v>52.69893885533119</v>
      </c>
      <c r="G244" s="12">
        <f t="shared" si="18"/>
        <v>2777.1781564779358</v>
      </c>
      <c r="H244" s="13">
        <f t="shared" si="19"/>
        <v>0.31452738066196606</v>
      </c>
      <c r="I244" s="12">
        <f t="shared" si="20"/>
        <v>0</v>
      </c>
    </row>
    <row r="245" spans="2:9" ht="12.75" customHeight="1" hidden="1">
      <c r="B245" s="191">
        <v>169</v>
      </c>
      <c r="C245" s="21">
        <f t="shared" si="14"/>
        <v>286.75486622109156</v>
      </c>
      <c r="D245" s="14">
        <f t="shared" si="16"/>
        <v>191</v>
      </c>
      <c r="E245" s="15">
        <f t="shared" si="17"/>
        <v>236.7281319126296</v>
      </c>
      <c r="F245" s="11">
        <f t="shared" si="15"/>
        <v>50.026734308461954</v>
      </c>
      <c r="G245" s="12">
        <f t="shared" si="18"/>
        <v>2502.674145569444</v>
      </c>
      <c r="H245" s="13">
        <f t="shared" si="19"/>
        <v>0.31452738066196606</v>
      </c>
      <c r="I245" s="12">
        <f t="shared" si="20"/>
        <v>0</v>
      </c>
    </row>
    <row r="246" spans="2:9" ht="12.75" customHeight="1" hidden="1">
      <c r="B246" s="191">
        <v>170</v>
      </c>
      <c r="C246" s="21">
        <f t="shared" si="14"/>
        <v>285.3421979726693</v>
      </c>
      <c r="D246" s="14">
        <f t="shared" si="16"/>
        <v>190</v>
      </c>
      <c r="E246" s="15">
        <f t="shared" si="17"/>
        <v>237.98370872480825</v>
      </c>
      <c r="F246" s="11">
        <f t="shared" si="15"/>
        <v>47.35848924786103</v>
      </c>
      <c r="G246" s="12">
        <f t="shared" si="18"/>
        <v>2242.826503839769</v>
      </c>
      <c r="H246" s="13">
        <f t="shared" si="19"/>
        <v>0.31452738066196606</v>
      </c>
      <c r="I246" s="12">
        <f t="shared" si="20"/>
        <v>0</v>
      </c>
    </row>
    <row r="247" spans="2:9" ht="12.75" customHeight="1" hidden="1">
      <c r="B247" s="191">
        <v>171</v>
      </c>
      <c r="C247" s="21">
        <f t="shared" si="14"/>
        <v>283.9462163768756</v>
      </c>
      <c r="D247" s="14">
        <f t="shared" si="16"/>
        <v>189</v>
      </c>
      <c r="E247" s="15">
        <f t="shared" si="17"/>
        <v>239.25251744190393</v>
      </c>
      <c r="F247" s="11">
        <f t="shared" si="15"/>
        <v>44.69369893497168</v>
      </c>
      <c r="G247" s="12">
        <f t="shared" si="18"/>
        <v>1997.5267244898885</v>
      </c>
      <c r="H247" s="13">
        <f t="shared" si="19"/>
        <v>0.31452738066196606</v>
      </c>
      <c r="I247" s="12">
        <f t="shared" si="20"/>
        <v>0</v>
      </c>
    </row>
    <row r="248" spans="2:9" ht="12.75" customHeight="1" hidden="1">
      <c r="B248" s="191">
        <v>172</v>
      </c>
      <c r="C248" s="21">
        <f t="shared" si="14"/>
        <v>282.5666303643394</v>
      </c>
      <c r="D248" s="14">
        <f t="shared" si="16"/>
        <v>188</v>
      </c>
      <c r="E248" s="15">
        <f t="shared" si="17"/>
        <v>240.5347692017708</v>
      </c>
      <c r="F248" s="11">
        <f t="shared" si="15"/>
        <v>42.03186116256859</v>
      </c>
      <c r="G248" s="12">
        <f t="shared" si="18"/>
        <v>1766.6773527894418</v>
      </c>
      <c r="H248" s="13">
        <f t="shared" si="19"/>
        <v>0.31452738066196606</v>
      </c>
      <c r="I248" s="12">
        <f t="shared" si="20"/>
        <v>0</v>
      </c>
    </row>
    <row r="249" spans="2:9" ht="12.75" customHeight="1" hidden="1">
      <c r="B249" s="191">
        <v>173</v>
      </c>
      <c r="C249" s="21">
        <f t="shared" si="14"/>
        <v>281.2031555954861</v>
      </c>
      <c r="D249" s="14">
        <f t="shared" si="16"/>
        <v>187</v>
      </c>
      <c r="E249" s="15">
        <f t="shared" si="17"/>
        <v>241.83067965863327</v>
      </c>
      <c r="F249" s="11">
        <f t="shared" si="15"/>
        <v>39.37247593685285</v>
      </c>
      <c r="G249" s="12">
        <f t="shared" si="18"/>
        <v>1550.1918613980567</v>
      </c>
      <c r="H249" s="13">
        <f t="shared" si="19"/>
        <v>0.31452738066196606</v>
      </c>
      <c r="I249" s="12">
        <f t="shared" si="20"/>
        <v>0</v>
      </c>
    </row>
    <row r="250" spans="2:9" ht="12.75" customHeight="1" hidden="1">
      <c r="B250" s="191">
        <v>174</v>
      </c>
      <c r="C250" s="21">
        <f t="shared" si="14"/>
        <v>279.85551426715347</v>
      </c>
      <c r="D250" s="14">
        <f t="shared" si="16"/>
        <v>186</v>
      </c>
      <c r="E250" s="15">
        <f t="shared" si="17"/>
        <v>243.14046910449358</v>
      </c>
      <c r="F250" s="11">
        <f t="shared" si="15"/>
        <v>36.71504516265989</v>
      </c>
      <c r="G250" s="12">
        <f t="shared" si="18"/>
        <v>1347.9945412961554</v>
      </c>
      <c r="H250" s="13">
        <f t="shared" si="19"/>
        <v>0.31452738066196606</v>
      </c>
      <c r="I250" s="12">
        <f t="shared" si="20"/>
        <v>0</v>
      </c>
    </row>
    <row r="251" spans="2:9" ht="12.75" customHeight="1" hidden="1">
      <c r="B251" s="191">
        <v>175</v>
      </c>
      <c r="C251" s="21">
        <f t="shared" si="14"/>
        <v>278.52343492583674</v>
      </c>
      <c r="D251" s="14">
        <f t="shared" si="16"/>
        <v>185</v>
      </c>
      <c r="E251" s="15">
        <f t="shared" si="17"/>
        <v>244.46436259447754</v>
      </c>
      <c r="F251" s="11">
        <f t="shared" si="15"/>
        <v>34.059072331359204</v>
      </c>
      <c r="G251" s="12">
        <f t="shared" si="18"/>
        <v>1160.020408072758</v>
      </c>
      <c r="H251" s="13">
        <f t="shared" si="19"/>
        <v>0.31452738066196606</v>
      </c>
      <c r="I251" s="12">
        <f t="shared" si="20"/>
        <v>0</v>
      </c>
    </row>
    <row r="252" spans="2:9" ht="12.75" customHeight="1" hidden="1">
      <c r="B252" s="191">
        <v>176</v>
      </c>
      <c r="C252" s="21">
        <f t="shared" si="14"/>
        <v>277.20665228729996</v>
      </c>
      <c r="D252" s="14">
        <f t="shared" si="16"/>
        <v>184</v>
      </c>
      <c r="E252" s="15">
        <f t="shared" si="17"/>
        <v>245.80259007626694</v>
      </c>
      <c r="F252" s="11">
        <f t="shared" si="15"/>
        <v>31.404062211033022</v>
      </c>
      <c r="G252" s="12">
        <f t="shared" si="18"/>
        <v>986.2151233544322</v>
      </c>
      <c r="H252" s="13">
        <f t="shared" si="19"/>
        <v>0.31452738066196606</v>
      </c>
      <c r="I252" s="12">
        <f t="shared" si="20"/>
        <v>0</v>
      </c>
    </row>
    <row r="253" spans="2:9" ht="12.75" customHeight="1" hidden="1">
      <c r="B253" s="191">
        <v>177</v>
      </c>
      <c r="C253" s="21">
        <f t="shared" si="14"/>
        <v>275.90490706230395</v>
      </c>
      <c r="D253" s="14">
        <f t="shared" si="16"/>
        <v>183</v>
      </c>
      <c r="E253" s="15">
        <f t="shared" si="17"/>
        <v>247.15538652377666</v>
      </c>
      <c r="F253" s="11">
        <f t="shared" si="15"/>
        <v>28.749520538527293</v>
      </c>
      <c r="G253" s="12">
        <f t="shared" si="18"/>
        <v>826.5349311952026</v>
      </c>
      <c r="H253" s="13">
        <f t="shared" si="19"/>
        <v>0.31452738066196606</v>
      </c>
      <c r="I253" s="12">
        <f t="shared" si="20"/>
        <v>0</v>
      </c>
    </row>
    <row r="254" spans="2:9" ht="12.75" customHeight="1" hidden="1">
      <c r="B254" s="191">
        <v>178</v>
      </c>
      <c r="C254" s="21">
        <f t="shared" si="14"/>
        <v>274.61794578820707</v>
      </c>
      <c r="D254" s="14">
        <f t="shared" si="16"/>
        <v>182</v>
      </c>
      <c r="E254" s="15">
        <f t="shared" si="17"/>
        <v>248.52299207523674</v>
      </c>
      <c r="F254" s="11">
        <f t="shared" si="15"/>
        <v>26.094953712970323</v>
      </c>
      <c r="G254" s="12">
        <f t="shared" si="18"/>
        <v>680.9466092820636</v>
      </c>
      <c r="H254" s="13">
        <f t="shared" si="19"/>
        <v>0.31452738066196606</v>
      </c>
      <c r="I254" s="12">
        <f t="shared" si="20"/>
        <v>0</v>
      </c>
    </row>
    <row r="255" spans="2:9" ht="12.75" customHeight="1" hidden="1">
      <c r="B255" s="191">
        <v>179</v>
      </c>
      <c r="C255" s="21">
        <f t="shared" si="14"/>
        <v>273.34552066621177</v>
      </c>
      <c r="D255" s="14">
        <f t="shared" si="16"/>
        <v>181</v>
      </c>
      <c r="E255" s="15">
        <f t="shared" si="17"/>
        <v>249.90565217585416</v>
      </c>
      <c r="F255" s="11">
        <f t="shared" si="15"/>
        <v>23.43986849035761</v>
      </c>
      <c r="G255" s="12">
        <f t="shared" si="18"/>
        <v>549.4274348452595</v>
      </c>
      <c r="H255" s="13">
        <f t="shared" si="19"/>
        <v>0.31452738066196606</v>
      </c>
      <c r="I255" s="12">
        <f t="shared" si="20"/>
        <v>0</v>
      </c>
    </row>
    <row r="256" spans="2:9" ht="12.75" customHeight="1" hidden="1">
      <c r="B256" s="191">
        <v>180</v>
      </c>
      <c r="C256" s="21">
        <f t="shared" si="14"/>
        <v>272.08738940403447</v>
      </c>
      <c r="D256" s="14">
        <f t="shared" si="16"/>
        <v>180</v>
      </c>
      <c r="E256" s="15">
        <f t="shared" si="17"/>
        <v>251.30361772522855</v>
      </c>
      <c r="F256" s="11">
        <f t="shared" si="15"/>
        <v>20.78377167880592</v>
      </c>
      <c r="G256" s="12">
        <f t="shared" si="18"/>
        <v>431.96516519673503</v>
      </c>
      <c r="H256" s="13">
        <f t="shared" si="19"/>
        <v>0.31452738066196606</v>
      </c>
      <c r="I256" s="12">
        <f t="shared" si="20"/>
        <v>0</v>
      </c>
    </row>
    <row r="257" spans="2:9" ht="12.75" customHeight="1" hidden="1">
      <c r="B257" s="191">
        <v>181</v>
      </c>
      <c r="C257" s="21">
        <f t="shared" si="14"/>
        <v>270.84331506379334</v>
      </c>
      <c r="D257" s="14">
        <f t="shared" si="16"/>
        <v>179</v>
      </c>
      <c r="E257" s="15">
        <f t="shared" si="17"/>
        <v>252.71714522970947</v>
      </c>
      <c r="F257" s="11">
        <f t="shared" si="15"/>
        <v>18.126169834083868</v>
      </c>
      <c r="G257" s="12">
        <f t="shared" si="18"/>
        <v>328.558032854052</v>
      </c>
      <c r="H257" s="13">
        <f t="shared" si="19"/>
        <v>0.31452738066196606</v>
      </c>
      <c r="I257" s="12">
        <f t="shared" si="20"/>
        <v>0</v>
      </c>
    </row>
    <row r="258" spans="2:9" ht="12.75" customHeight="1" hidden="1">
      <c r="B258" s="191">
        <v>182</v>
      </c>
      <c r="C258" s="21">
        <f t="shared" si="14"/>
        <v>269.6130659149078</v>
      </c>
      <c r="D258" s="14">
        <f t="shared" si="16"/>
        <v>178</v>
      </c>
      <c r="E258" s="15">
        <f t="shared" si="17"/>
        <v>254.14649695988956</v>
      </c>
      <c r="F258" s="11">
        <f t="shared" si="15"/>
        <v>15.466568955018232</v>
      </c>
      <c r="G258" s="12">
        <f t="shared" si="18"/>
        <v>239.21475524033377</v>
      </c>
      <c r="H258" s="13">
        <f t="shared" si="19"/>
        <v>0.31452738066196606</v>
      </c>
      <c r="I258" s="12">
        <f t="shared" si="20"/>
        <v>0</v>
      </c>
    </row>
    <row r="259" spans="2:9" ht="12.75" customHeight="1" hidden="1">
      <c r="B259" s="191">
        <v>183</v>
      </c>
      <c r="C259" s="21">
        <f t="shared" si="14"/>
        <v>268.39641529182484</v>
      </c>
      <c r="D259" s="14">
        <f t="shared" si="16"/>
        <v>177</v>
      </c>
      <c r="E259" s="15">
        <f t="shared" si="17"/>
        <v>255.5919411134357</v>
      </c>
      <c r="F259" s="11">
        <f t="shared" si="15"/>
        <v>12.804474178389142</v>
      </c>
      <c r="G259" s="12">
        <f t="shared" si="18"/>
        <v>163.9545589850343</v>
      </c>
      <c r="H259" s="13">
        <f t="shared" si="19"/>
        <v>0.31452738066196606</v>
      </c>
      <c r="I259" s="12">
        <f t="shared" si="20"/>
        <v>0</v>
      </c>
    </row>
    <row r="260" spans="2:9" ht="12.75" customHeight="1" hidden="1">
      <c r="B260" s="191">
        <v>184</v>
      </c>
      <c r="C260" s="21">
        <f t="shared" si="14"/>
        <v>267.19314145637986</v>
      </c>
      <c r="D260" s="14">
        <f t="shared" si="16"/>
        <v>176</v>
      </c>
      <c r="E260" s="15">
        <f t="shared" si="17"/>
        <v>257.05375198347286</v>
      </c>
      <c r="F260" s="11">
        <f t="shared" si="15"/>
        <v>10.139389472906998</v>
      </c>
      <c r="G260" s="12">
        <f t="shared" si="18"/>
        <v>102.80721888329725</v>
      </c>
      <c r="H260" s="13">
        <f t="shared" si="19"/>
        <v>0.31452738066196606</v>
      </c>
      <c r="I260" s="12">
        <f t="shared" si="20"/>
        <v>0</v>
      </c>
    </row>
    <row r="261" spans="2:9" ht="12.75" customHeight="1" hidden="1">
      <c r="B261" s="191">
        <v>185</v>
      </c>
      <c r="C261" s="21">
        <f t="shared" si="14"/>
        <v>266.0030274646267</v>
      </c>
      <c r="D261" s="14">
        <f t="shared" si="16"/>
        <v>175</v>
      </c>
      <c r="E261" s="15">
        <f t="shared" si="17"/>
        <v>258.5322101327396</v>
      </c>
      <c r="F261" s="11">
        <f t="shared" si="15"/>
        <v>7.470817331887133</v>
      </c>
      <c r="G261" s="12">
        <f t="shared" si="18"/>
        <v>55.81311160642518</v>
      </c>
      <c r="H261" s="13">
        <f t="shared" si="19"/>
        <v>0.31452738066196606</v>
      </c>
      <c r="I261" s="12">
        <f t="shared" si="20"/>
        <v>0</v>
      </c>
    </row>
    <row r="262" spans="2:9" ht="12.75" customHeight="1" hidden="1">
      <c r="B262" s="191">
        <v>186</v>
      </c>
      <c r="C262" s="21">
        <f t="shared" si="14"/>
        <v>264.8258610379585</v>
      </c>
      <c r="D262" s="14">
        <f t="shared" si="16"/>
        <v>174</v>
      </c>
      <c r="E262" s="15">
        <f t="shared" si="17"/>
        <v>260.02760257374854</v>
      </c>
      <c r="F262" s="11">
        <f t="shared" si="15"/>
        <v>4.798258464209937</v>
      </c>
      <c r="G262" s="12">
        <f t="shared" si="18"/>
        <v>23.0232842893623</v>
      </c>
      <c r="H262" s="13">
        <f t="shared" si="19"/>
        <v>0.31452738066196606</v>
      </c>
      <c r="I262" s="12">
        <f t="shared" si="20"/>
        <v>0</v>
      </c>
    </row>
    <row r="263" spans="2:9" ht="12.75" customHeight="1" hidden="1">
      <c r="B263" s="191">
        <v>187</v>
      </c>
      <c r="C263" s="21">
        <f t="shared" si="14"/>
        <v>263.6614344383677</v>
      </c>
      <c r="D263" s="14">
        <f t="shared" si="16"/>
        <v>173</v>
      </c>
      <c r="E263" s="15">
        <f t="shared" si="17"/>
        <v>261.5402229551974</v>
      </c>
      <c r="F263" s="11">
        <f t="shared" si="15"/>
        <v>2.1212114831702706</v>
      </c>
      <c r="G263" s="12">
        <f t="shared" si="18"/>
        <v>4.499538156333419</v>
      </c>
      <c r="H263" s="13">
        <f t="shared" si="19"/>
        <v>0.31452738066196606</v>
      </c>
      <c r="I263" s="12">
        <f t="shared" si="20"/>
        <v>0</v>
      </c>
    </row>
    <row r="264" spans="2:9" ht="12.75" customHeight="1" hidden="1">
      <c r="B264" s="191">
        <v>188</v>
      </c>
      <c r="C264" s="21">
        <f t="shared" si="14"/>
        <v>262.50954434768505</v>
      </c>
      <c r="D264" s="14">
        <f t="shared" si="16"/>
        <v>172</v>
      </c>
      <c r="E264" s="15">
        <f t="shared" si="17"/>
        <v>263.07037175488085</v>
      </c>
      <c r="F264" s="11">
        <f t="shared" si="15"/>
        <v>-0.5608274071958022</v>
      </c>
      <c r="G264" s="12">
        <f t="shared" si="18"/>
        <v>0.31452738066196606</v>
      </c>
      <c r="H264" s="13">
        <f t="shared" si="19"/>
        <v>0.31452738066196606</v>
      </c>
      <c r="I264" s="12">
        <f t="shared" si="20"/>
        <v>188</v>
      </c>
    </row>
    <row r="265" spans="2:9" ht="12.75" customHeight="1" hidden="1">
      <c r="B265" s="191">
        <v>189</v>
      </c>
      <c r="C265" s="21">
        <f t="shared" si="14"/>
        <v>261.3699917506518</v>
      </c>
      <c r="D265" s="14">
        <f t="shared" si="16"/>
        <v>171</v>
      </c>
      <c r="E265" s="15">
        <f t="shared" si="17"/>
        <v>264.6183564793711</v>
      </c>
      <c r="F265" s="11">
        <f t="shared" si="15"/>
        <v>-3.2483647287192525</v>
      </c>
      <c r="G265" s="12">
        <f t="shared" si="18"/>
        <v>10.551873410787303</v>
      </c>
      <c r="H265" s="13">
        <f t="shared" si="19"/>
        <v>0.31452738066196606</v>
      </c>
      <c r="I265" s="12">
        <f t="shared" si="20"/>
        <v>0</v>
      </c>
    </row>
    <row r="266" spans="2:9" ht="12.75" customHeight="1" hidden="1">
      <c r="B266" s="191">
        <v>190</v>
      </c>
      <c r="C266" s="21">
        <f t="shared" si="14"/>
        <v>260.24258182168717</v>
      </c>
      <c r="D266" s="14">
        <f t="shared" si="16"/>
        <v>170</v>
      </c>
      <c r="E266" s="15">
        <f t="shared" si="17"/>
        <v>266.184491870748</v>
      </c>
      <c r="F266" s="11">
        <f t="shared" si="15"/>
        <v>-5.941910049060823</v>
      </c>
      <c r="G266" s="12">
        <f t="shared" si="18"/>
        <v>35.30629503112999</v>
      </c>
      <c r="H266" s="13">
        <f t="shared" si="19"/>
        <v>0.31452738066196606</v>
      </c>
      <c r="I266" s="12">
        <f t="shared" si="20"/>
        <v>0</v>
      </c>
    </row>
    <row r="267" spans="2:9" ht="12.75" customHeight="1" hidden="1">
      <c r="B267" s="191">
        <v>191</v>
      </c>
      <c r="C267" s="21">
        <f t="shared" si="14"/>
        <v>259.12712381520925</v>
      </c>
      <c r="D267" s="14">
        <f t="shared" si="16"/>
        <v>169</v>
      </c>
      <c r="E267" s="15">
        <f t="shared" si="17"/>
        <v>267.7691001206659</v>
      </c>
      <c r="F267" s="11">
        <f t="shared" si="15"/>
        <v>-8.641976305456637</v>
      </c>
      <c r="G267" s="12">
        <f t="shared" si="18"/>
        <v>74.68375446407396</v>
      </c>
      <c r="H267" s="13">
        <f t="shared" si="19"/>
        <v>0.31452738066196606</v>
      </c>
      <c r="I267" s="12">
        <f t="shared" si="20"/>
        <v>0</v>
      </c>
    </row>
    <row r="268" spans="2:9" ht="12.75" customHeight="1" hidden="1">
      <c r="B268" s="191">
        <v>192</v>
      </c>
      <c r="C268" s="21">
        <f t="shared" si="14"/>
        <v>258.0234309593861</v>
      </c>
      <c r="D268" s="14">
        <f t="shared" si="16"/>
        <v>168</v>
      </c>
      <c r="E268" s="15">
        <f t="shared" si="17"/>
        <v>269.372511092068</v>
      </c>
      <c r="F268" s="11">
        <f t="shared" si="15"/>
        <v>-11.349080132681934</v>
      </c>
      <c r="G268" s="12">
        <f t="shared" si="18"/>
        <v>128.8016198580358</v>
      </c>
      <c r="H268" s="13">
        <f t="shared" si="19"/>
        <v>0.31452738066196606</v>
      </c>
      <c r="I268" s="12">
        <f t="shared" si="20"/>
        <v>0</v>
      </c>
    </row>
    <row r="269" spans="2:9" ht="12.75" customHeight="1" hidden="1">
      <c r="B269" s="191">
        <v>193</v>
      </c>
      <c r="C269" s="21">
        <f aca="true" t="shared" si="21" ref="C269:C332">($F$25/12)*POWER((($F$25/12)+1),B269)/(POWER((($F$25/12)+1),B269)-1)*$F$27</f>
        <v>256.93132035318814</v>
      </c>
      <c r="D269" s="14">
        <f t="shared" si="16"/>
        <v>167</v>
      </c>
      <c r="E269" s="15">
        <f t="shared" si="17"/>
        <v>270.99506254886626</v>
      </c>
      <c r="F269" s="11">
        <f aca="true" t="shared" si="22" ref="F269:F332">C269-E269</f>
        <v>-14.063742195678117</v>
      </c>
      <c r="G269" s="12">
        <f t="shared" si="18"/>
        <v>197.78884454649713</v>
      </c>
      <c r="H269" s="13">
        <f t="shared" si="19"/>
        <v>0.31452738066196606</v>
      </c>
      <c r="I269" s="12">
        <f t="shared" si="20"/>
        <v>0</v>
      </c>
    </row>
    <row r="270" spans="2:9" ht="12.75" customHeight="1" hidden="1">
      <c r="B270" s="191">
        <v>194</v>
      </c>
      <c r="C270" s="21">
        <f t="shared" si="21"/>
        <v>255.85061286662602</v>
      </c>
      <c r="D270" s="14">
        <f aca="true" t="shared" si="23" ref="D270:D333">IF($F$50-B270=0,1,$F$50-B270)</f>
        <v>166</v>
      </c>
      <c r="E270" s="15">
        <f aca="true" t="shared" si="24" ref="E270:E333">(2%/12)*POWER(((2%/12)+1),D270)/(POWER(((2%/12)+1),D270)-1)*(($E$11+$E$12)+((POWER((1+1/100),(($C$28*12+B270)/12))-1)*($E$11+$E$12)))</f>
        <v>272.6371003939207</v>
      </c>
      <c r="F270" s="11">
        <f t="shared" si="22"/>
        <v>-16.786487527294696</v>
      </c>
      <c r="G270" s="12">
        <f aca="true" t="shared" si="25" ref="G270:G333">F270*F270</f>
        <v>281.7861635040204</v>
      </c>
      <c r="H270" s="13">
        <f aca="true" t="shared" si="26" ref="H270:H333">MIN($G$77:$G$434)</f>
        <v>0.31452738066196606</v>
      </c>
      <c r="I270" s="12">
        <f aca="true" t="shared" si="27" ref="I270:I333">IF(G270=H270,B270,0)</f>
        <v>0</v>
      </c>
    </row>
    <row r="271" spans="2:9" ht="12.75" customHeight="1" hidden="1">
      <c r="B271" s="191">
        <v>195</v>
      </c>
      <c r="C271" s="21">
        <f t="shared" si="21"/>
        <v>254.7811330440571</v>
      </c>
      <c r="D271" s="14">
        <f t="shared" si="23"/>
        <v>165</v>
      </c>
      <c r="E271" s="15">
        <f t="shared" si="24"/>
        <v>274.29897891567543</v>
      </c>
      <c r="F271" s="11">
        <f t="shared" si="22"/>
        <v>-19.517845871618334</v>
      </c>
      <c r="G271" s="12">
        <f t="shared" si="25"/>
        <v>380.94630746824885</v>
      </c>
      <c r="H271" s="13">
        <f t="shared" si="26"/>
        <v>0.31452738066196606</v>
      </c>
      <c r="I271" s="12">
        <f t="shared" si="27"/>
        <v>0</v>
      </c>
    </row>
    <row r="272" spans="2:9" ht="12.75" customHeight="1" hidden="1">
      <c r="B272" s="191">
        <v>196</v>
      </c>
      <c r="C272" s="21">
        <f t="shared" si="21"/>
        <v>253.72270901045204</v>
      </c>
      <c r="D272" s="14">
        <f t="shared" si="23"/>
        <v>164</v>
      </c>
      <c r="E272" s="15">
        <f t="shared" si="24"/>
        <v>275.9810610438171</v>
      </c>
      <c r="F272" s="11">
        <f t="shared" si="22"/>
        <v>-22.258352033365043</v>
      </c>
      <c r="G272" s="12">
        <f t="shared" si="25"/>
        <v>495.4342352412057</v>
      </c>
      <c r="H272" s="13">
        <f t="shared" si="26"/>
        <v>0.31452738066196606</v>
      </c>
      <c r="I272" s="12">
        <f t="shared" si="27"/>
        <v>0</v>
      </c>
    </row>
    <row r="273" spans="2:9" ht="12.75" customHeight="1" hidden="1">
      <c r="B273" s="191">
        <v>197</v>
      </c>
      <c r="C273" s="21">
        <f t="shared" si="21"/>
        <v>252.6751723805164</v>
      </c>
      <c r="D273" s="14">
        <f t="shared" si="23"/>
        <v>163</v>
      </c>
      <c r="E273" s="15">
        <f t="shared" si="24"/>
        <v>277.6837186143424</v>
      </c>
      <c r="F273" s="11">
        <f t="shared" si="22"/>
        <v>-25.008546233826024</v>
      </c>
      <c r="G273" s="12">
        <f t="shared" si="25"/>
        <v>625.4273847294138</v>
      </c>
      <c r="H273" s="13">
        <f t="shared" si="26"/>
        <v>0.31452738066196606</v>
      </c>
      <c r="I273" s="12">
        <f t="shared" si="27"/>
        <v>0</v>
      </c>
    </row>
    <row r="274" spans="2:9" ht="12.75" customHeight="1" hidden="1">
      <c r="B274" s="191">
        <v>198</v>
      </c>
      <c r="C274" s="21">
        <f t="shared" si="21"/>
        <v>251.6383581705662</v>
      </c>
      <c r="D274" s="14">
        <f t="shared" si="23"/>
        <v>162</v>
      </c>
      <c r="E274" s="15">
        <f t="shared" si="24"/>
        <v>279.4073326444454</v>
      </c>
      <c r="F274" s="11">
        <f t="shared" si="22"/>
        <v>-27.768974473879183</v>
      </c>
      <c r="G274" s="12">
        <f t="shared" si="25"/>
        <v>771.1159433309537</v>
      </c>
      <c r="H274" s="13">
        <f t="shared" si="26"/>
        <v>0.31452738066196606</v>
      </c>
      <c r="I274" s="12">
        <f t="shared" si="27"/>
        <v>0</v>
      </c>
    </row>
    <row r="275" spans="2:9" ht="12.75" customHeight="1" hidden="1">
      <c r="B275" s="191">
        <v>199</v>
      </c>
      <c r="C275" s="21">
        <f t="shared" si="21"/>
        <v>250.61210471306026</v>
      </c>
      <c r="D275" s="14">
        <f t="shared" si="23"/>
        <v>161</v>
      </c>
      <c r="E275" s="15">
        <f t="shared" si="24"/>
        <v>281.1522936176468</v>
      </c>
      <c r="F275" s="11">
        <f t="shared" si="22"/>
        <v>-30.540188904586557</v>
      </c>
      <c r="G275" s="12">
        <f t="shared" si="25"/>
        <v>932.7031383278319</v>
      </c>
      <c r="H275" s="13">
        <f t="shared" si="26"/>
        <v>0.31452738066196606</v>
      </c>
      <c r="I275" s="12">
        <f t="shared" si="27"/>
        <v>0</v>
      </c>
    </row>
    <row r="276" spans="2:9" ht="12.75" customHeight="1" hidden="1">
      <c r="B276" s="191">
        <v>200</v>
      </c>
      <c r="C276" s="21">
        <f t="shared" si="21"/>
        <v>249.59625357369683</v>
      </c>
      <c r="D276" s="14">
        <f t="shared" si="23"/>
        <v>160</v>
      </c>
      <c r="E276" s="15">
        <f t="shared" si="24"/>
        <v>282.9190017796182</v>
      </c>
      <c r="F276" s="11">
        <f t="shared" si="22"/>
        <v>-33.322748205921386</v>
      </c>
      <c r="G276" s="12">
        <f t="shared" si="25"/>
        <v>1110.405547995237</v>
      </c>
      <c r="H276" s="13">
        <f t="shared" si="26"/>
        <v>0.31452738066196606</v>
      </c>
      <c r="I276" s="12">
        <f t="shared" si="27"/>
        <v>0</v>
      </c>
    </row>
    <row r="277" spans="2:9" ht="12.75" customHeight="1" hidden="1">
      <c r="B277" s="191">
        <v>201</v>
      </c>
      <c r="C277" s="21">
        <f t="shared" si="21"/>
        <v>248.59064947098454</v>
      </c>
      <c r="D277" s="14">
        <f t="shared" si="23"/>
        <v>159</v>
      </c>
      <c r="E277" s="15">
        <f t="shared" si="24"/>
        <v>284.70786744516636</v>
      </c>
      <c r="F277" s="11">
        <f t="shared" si="22"/>
        <v>-36.11721797418181</v>
      </c>
      <c r="G277" s="12">
        <f t="shared" si="25"/>
        <v>1304.4534341945619</v>
      </c>
      <c r="H277" s="13">
        <f t="shared" si="26"/>
        <v>0.31452738066196606</v>
      </c>
      <c r="I277" s="12">
        <f t="shared" si="27"/>
        <v>0</v>
      </c>
    </row>
    <row r="278" spans="2:9" ht="12.75" customHeight="1" hidden="1">
      <c r="B278" s="191">
        <v>202</v>
      </c>
      <c r="C278" s="21">
        <f t="shared" si="21"/>
        <v>247.59514019820315</v>
      </c>
      <c r="D278" s="14">
        <f t="shared" si="23"/>
        <v>158</v>
      </c>
      <c r="E278" s="15">
        <f t="shared" si="24"/>
        <v>286.5193113168777</v>
      </c>
      <c r="F278" s="11">
        <f t="shared" si="22"/>
        <v>-38.924171118674536</v>
      </c>
      <c r="G278" s="12">
        <f t="shared" si="25"/>
        <v>1515.091097275857</v>
      </c>
      <c r="H278" s="13">
        <f t="shared" si="26"/>
        <v>0.31452738066196606</v>
      </c>
      <c r="I278" s="12">
        <f t="shared" si="27"/>
        <v>0</v>
      </c>
    </row>
    <row r="279" spans="2:9" ht="12.75" customHeight="1" hidden="1">
      <c r="B279" s="191">
        <v>203</v>
      </c>
      <c r="C279" s="21">
        <f t="shared" si="21"/>
        <v>246.60957654766958</v>
      </c>
      <c r="D279" s="14">
        <f t="shared" si="23"/>
        <v>157</v>
      </c>
      <c r="E279" s="15">
        <f t="shared" si="24"/>
        <v>288.35376481593875</v>
      </c>
      <c r="F279" s="11">
        <f t="shared" si="22"/>
        <v>-41.74418826826917</v>
      </c>
      <c r="G279" s="12">
        <f t="shared" si="25"/>
        <v>1742.5772541767014</v>
      </c>
      <c r="H279" s="13">
        <f t="shared" si="26"/>
        <v>0.31452738066196606</v>
      </c>
      <c r="I279" s="12">
        <f t="shared" si="27"/>
        <v>0</v>
      </c>
    </row>
    <row r="280" spans="2:9" ht="12.75" customHeight="1" hidden="1">
      <c r="B280" s="191">
        <v>204</v>
      </c>
      <c r="C280" s="21">
        <f t="shared" si="21"/>
        <v>245.6338122372331</v>
      </c>
      <c r="D280" s="14">
        <f t="shared" si="23"/>
        <v>156</v>
      </c>
      <c r="E280" s="15">
        <f t="shared" si="24"/>
        <v>290.21167042568237</v>
      </c>
      <c r="F280" s="11">
        <f t="shared" si="22"/>
        <v>-44.577858188449284</v>
      </c>
      <c r="G280" s="12">
        <f t="shared" si="25"/>
        <v>1987.185440669495</v>
      </c>
      <c r="H280" s="13">
        <f t="shared" si="26"/>
        <v>0.31452738066196606</v>
      </c>
      <c r="I280" s="12">
        <f t="shared" si="27"/>
        <v>0</v>
      </c>
    </row>
    <row r="281" spans="2:9" ht="12.75" customHeight="1" hidden="1">
      <c r="B281" s="191">
        <v>205</v>
      </c>
      <c r="C281" s="21">
        <f t="shared" si="21"/>
        <v>244.66770383891986</v>
      </c>
      <c r="D281" s="14">
        <f t="shared" si="23"/>
        <v>155</v>
      </c>
      <c r="E281" s="15">
        <f t="shared" si="24"/>
        <v>292.09348204842877</v>
      </c>
      <c r="F281" s="11">
        <f t="shared" si="22"/>
        <v>-47.425778209508906</v>
      </c>
      <c r="G281" s="12">
        <f t="shared" si="25"/>
        <v>2249.2044387775295</v>
      </c>
      <c r="H281" s="13">
        <f t="shared" si="26"/>
        <v>0.31452738066196606</v>
      </c>
      <c r="I281" s="12">
        <f t="shared" si="27"/>
        <v>0</v>
      </c>
    </row>
    <row r="282" spans="2:9" ht="12.75" customHeight="1" hidden="1">
      <c r="B282" s="191">
        <v>206</v>
      </c>
      <c r="C282" s="21">
        <f t="shared" si="21"/>
        <v>243.71111070965767</v>
      </c>
      <c r="D282" s="14">
        <f t="shared" si="23"/>
        <v>154</v>
      </c>
      <c r="E282" s="15">
        <f t="shared" si="24"/>
        <v>293.99966537623476</v>
      </c>
      <c r="F282" s="11">
        <f t="shared" si="22"/>
        <v>-50.288554666577085</v>
      </c>
      <c r="G282" s="12">
        <f t="shared" si="25"/>
        <v>2528.938730453312</v>
      </c>
      <c r="H282" s="13">
        <f t="shared" si="26"/>
        <v>0.31452738066196606</v>
      </c>
      <c r="I282" s="12">
        <f t="shared" si="27"/>
        <v>0</v>
      </c>
    </row>
    <row r="283" spans="2:9" ht="12.75" customHeight="1" hidden="1">
      <c r="B283" s="191">
        <v>207</v>
      </c>
      <c r="C283" s="21">
        <f t="shared" si="21"/>
        <v>242.76389492400781</v>
      </c>
      <c r="D283" s="14">
        <f t="shared" si="23"/>
        <v>153</v>
      </c>
      <c r="E283" s="15">
        <f t="shared" si="24"/>
        <v>295.93069827617677</v>
      </c>
      <c r="F283" s="11">
        <f t="shared" si="22"/>
        <v>-53.166803352168955</v>
      </c>
      <c r="G283" s="12">
        <f t="shared" si="25"/>
        <v>2826.708978688204</v>
      </c>
      <c r="H283" s="13">
        <f t="shared" si="26"/>
        <v>0.31452738066196606</v>
      </c>
      <c r="I283" s="12">
        <f t="shared" si="27"/>
        <v>0</v>
      </c>
    </row>
    <row r="284" spans="2:9" ht="12.75" customHeight="1" hidden="1">
      <c r="B284" s="191">
        <v>208</v>
      </c>
      <c r="C284" s="21">
        <f t="shared" si="21"/>
        <v>241.82592120883692</v>
      </c>
      <c r="D284" s="14">
        <f t="shared" si="23"/>
        <v>152</v>
      </c>
      <c r="E284" s="15">
        <f t="shared" si="24"/>
        <v>297.88707119084637</v>
      </c>
      <c r="F284" s="11">
        <f t="shared" si="22"/>
        <v>-56.061149982009454</v>
      </c>
      <c r="G284" s="12">
        <f t="shared" si="25"/>
        <v>3142.8525373053585</v>
      </c>
      <c r="H284" s="13">
        <f t="shared" si="26"/>
        <v>0.31452738066196606</v>
      </c>
      <c r="I284" s="12">
        <f t="shared" si="27"/>
        <v>0</v>
      </c>
    </row>
    <row r="285" spans="2:9" ht="12.75" customHeight="1" hidden="1">
      <c r="B285" s="191">
        <v>209</v>
      </c>
      <c r="C285" s="21">
        <f t="shared" si="21"/>
        <v>240.8970568798649</v>
      </c>
      <c r="D285" s="14">
        <f t="shared" si="23"/>
        <v>151</v>
      </c>
      <c r="E285" s="15">
        <f t="shared" si="24"/>
        <v>299.8692875547584</v>
      </c>
      <c r="F285" s="11">
        <f t="shared" si="22"/>
        <v>-58.972230674893495</v>
      </c>
      <c r="G285" s="12">
        <f t="shared" si="25"/>
        <v>3477.7239907728494</v>
      </c>
      <c r="H285" s="13">
        <f t="shared" si="26"/>
        <v>0.31452738066196606</v>
      </c>
      <c r="I285" s="12">
        <f t="shared" si="27"/>
        <v>0</v>
      </c>
    </row>
    <row r="286" spans="2:9" ht="12.75" customHeight="1" hidden="1">
      <c r="B286" s="191">
        <v>210</v>
      </c>
      <c r="C286" s="21">
        <f t="shared" si="21"/>
        <v>239.9771717800259</v>
      </c>
      <c r="D286" s="14">
        <f t="shared" si="23"/>
        <v>150</v>
      </c>
      <c r="E286" s="15">
        <f t="shared" si="24"/>
        <v>301.87786422741317</v>
      </c>
      <c r="F286" s="11">
        <f t="shared" si="22"/>
        <v>-61.90069244738726</v>
      </c>
      <c r="G286" s="12">
        <f t="shared" si="25"/>
        <v>3831.695725466026</v>
      </c>
      <c r="H286" s="13">
        <f t="shared" si="26"/>
        <v>0.31452738066196606</v>
      </c>
      <c r="I286" s="12">
        <f t="shared" si="27"/>
        <v>0</v>
      </c>
    </row>
    <row r="287" spans="2:9" ht="12.75" customHeight="1" hidden="1">
      <c r="B287" s="191">
        <v>211</v>
      </c>
      <c r="C287" s="21">
        <f t="shared" si="21"/>
        <v>239.06613821958211</v>
      </c>
      <c r="D287" s="14">
        <f t="shared" si="23"/>
        <v>149</v>
      </c>
      <c r="E287" s="15">
        <f t="shared" si="24"/>
        <v>303.9133319438011</v>
      </c>
      <c r="F287" s="11">
        <f t="shared" si="22"/>
        <v>-64.84719372421898</v>
      </c>
      <c r="G287" s="12">
        <f t="shared" si="25"/>
        <v>4205.158533906386</v>
      </c>
      <c r="H287" s="13">
        <f t="shared" si="26"/>
        <v>0.31452738066196606</v>
      </c>
      <c r="I287" s="12">
        <f t="shared" si="27"/>
        <v>0</v>
      </c>
    </row>
    <row r="288" spans="2:9" ht="12.75" customHeight="1" hidden="1">
      <c r="B288" s="191">
        <v>212</v>
      </c>
      <c r="C288" s="21">
        <f t="shared" si="21"/>
        <v>238.163830917931</v>
      </c>
      <c r="D288" s="14">
        <f t="shared" si="23"/>
        <v>148</v>
      </c>
      <c r="E288" s="15">
        <f t="shared" si="24"/>
        <v>305.97623578316984</v>
      </c>
      <c r="F288" s="11">
        <f t="shared" si="22"/>
        <v>-67.81240486523885</v>
      </c>
      <c r="G288" s="12">
        <f t="shared" si="25"/>
        <v>4598.52225360707</v>
      </c>
      <c r="H288" s="13">
        <f t="shared" si="26"/>
        <v>0.31452738066196606</v>
      </c>
      <c r="I288" s="12">
        <f t="shared" si="27"/>
        <v>0</v>
      </c>
    </row>
    <row r="289" spans="2:9" ht="12.75" customHeight="1" hidden="1">
      <c r="B289" s="191">
        <v>213</v>
      </c>
      <c r="C289" s="21">
        <f t="shared" si="21"/>
        <v>237.27012694705408</v>
      </c>
      <c r="D289" s="14">
        <f t="shared" si="23"/>
        <v>147</v>
      </c>
      <c r="E289" s="15">
        <f t="shared" si="24"/>
        <v>308.06713565692104</v>
      </c>
      <c r="F289" s="11">
        <f t="shared" si="22"/>
        <v>-70.79700870986696</v>
      </c>
      <c r="G289" s="12">
        <f t="shared" si="25"/>
        <v>5012.216442264978</v>
      </c>
      <c r="H289" s="13">
        <f t="shared" si="26"/>
        <v>0.31452738066196606</v>
      </c>
      <c r="I289" s="12">
        <f t="shared" si="27"/>
        <v>0</v>
      </c>
    </row>
    <row r="290" spans="2:9" ht="12.75" customHeight="1" hidden="1">
      <c r="B290" s="191">
        <v>214</v>
      </c>
      <c r="C290" s="21">
        <f t="shared" si="21"/>
        <v>236.38490567654912</v>
      </c>
      <c r="D290" s="14">
        <f t="shared" si="23"/>
        <v>146</v>
      </c>
      <c r="E290" s="15">
        <f t="shared" si="24"/>
        <v>310.1866068165651</v>
      </c>
      <c r="F290" s="11">
        <f t="shared" si="22"/>
        <v>-73.80170114001595</v>
      </c>
      <c r="G290" s="12">
        <f t="shared" si="25"/>
        <v>5446.691091160232</v>
      </c>
      <c r="H290" s="13">
        <f t="shared" si="26"/>
        <v>0.31452738066196606</v>
      </c>
      <c r="I290" s="12">
        <f t="shared" si="27"/>
        <v>0</v>
      </c>
    </row>
    <row r="291" spans="2:9" ht="12.75" customHeight="1" hidden="1">
      <c r="B291" s="191">
        <v>215</v>
      </c>
      <c r="C291" s="21">
        <f t="shared" si="21"/>
        <v>235.50804872019808</v>
      </c>
      <c r="D291" s="14">
        <f t="shared" si="23"/>
        <v>145</v>
      </c>
      <c r="E291" s="15">
        <f t="shared" si="24"/>
        <v>312.3352403826868</v>
      </c>
      <c r="F291" s="11">
        <f t="shared" si="22"/>
        <v>-76.8271916624887</v>
      </c>
      <c r="G291" s="12">
        <f t="shared" si="25"/>
        <v>5902.4173787447735</v>
      </c>
      <c r="H291" s="13">
        <f t="shared" si="26"/>
        <v>0.31452738066196606</v>
      </c>
      <c r="I291" s="12">
        <f t="shared" si="27"/>
        <v>0</v>
      </c>
    </row>
    <row r="292" spans="2:9" ht="12.75" customHeight="1" hidden="1">
      <c r="B292" s="191">
        <v>216</v>
      </c>
      <c r="C292" s="21">
        <f t="shared" si="21"/>
        <v>234.63943988401806</v>
      </c>
      <c r="D292" s="14">
        <f t="shared" si="23"/>
        <v>144</v>
      </c>
      <c r="E292" s="15">
        <f t="shared" si="24"/>
        <v>314.51364389595716</v>
      </c>
      <c r="F292" s="11">
        <f t="shared" si="22"/>
        <v>-79.8742040119391</v>
      </c>
      <c r="G292" s="12">
        <f t="shared" si="25"/>
        <v>6379.888466540868</v>
      </c>
      <c r="H292" s="13">
        <f t="shared" si="26"/>
        <v>0.31452738066196606</v>
      </c>
      <c r="I292" s="12">
        <f t="shared" si="27"/>
        <v>0</v>
      </c>
    </row>
    <row r="293" spans="2:9" ht="12.75" customHeight="1" hidden="1">
      <c r="B293" s="191">
        <v>217</v>
      </c>
      <c r="C293" s="21">
        <f t="shared" si="21"/>
        <v>233.77896511574883</v>
      </c>
      <c r="D293" s="14">
        <f t="shared" si="23"/>
        <v>143</v>
      </c>
      <c r="E293" s="15">
        <f t="shared" si="24"/>
        <v>316.7224418912615</v>
      </c>
      <c r="F293" s="11">
        <f t="shared" si="22"/>
        <v>-82.94347677551266</v>
      </c>
      <c r="G293" s="12">
        <f t="shared" si="25"/>
        <v>6879.620339610009</v>
      </c>
      <c r="H293" s="13">
        <f t="shared" si="26"/>
        <v>0.31452738066196606</v>
      </c>
      <c r="I293" s="12">
        <f t="shared" si="27"/>
        <v>0</v>
      </c>
    </row>
    <row r="294" spans="2:9" ht="12.75" customHeight="1" hidden="1">
      <c r="B294" s="191">
        <v>218</v>
      </c>
      <c r="C294" s="21">
        <f t="shared" si="21"/>
        <v>232.92651245573143</v>
      </c>
      <c r="D294" s="14">
        <f t="shared" si="23"/>
        <v>142</v>
      </c>
      <c r="E294" s="15">
        <f t="shared" si="24"/>
        <v>318.96227649608664</v>
      </c>
      <c r="F294" s="11">
        <f t="shared" si="22"/>
        <v>-86.03576404035522</v>
      </c>
      <c r="G294" s="12">
        <f t="shared" si="25"/>
        <v>7402.15269400768</v>
      </c>
      <c r="H294" s="13">
        <f t="shared" si="26"/>
        <v>0.31452738066196606</v>
      </c>
      <c r="I294" s="12">
        <f t="shared" si="27"/>
        <v>0</v>
      </c>
    </row>
    <row r="295" spans="2:9" ht="12.75" customHeight="1" hidden="1">
      <c r="B295" s="191">
        <v>219</v>
      </c>
      <c r="C295" s="21">
        <f t="shared" si="21"/>
        <v>232.08197198913118</v>
      </c>
      <c r="D295" s="14">
        <f t="shared" si="23"/>
        <v>141</v>
      </c>
      <c r="E295" s="15">
        <f t="shared" si="24"/>
        <v>321.23380805437415</v>
      </c>
      <c r="F295" s="11">
        <f t="shared" si="22"/>
        <v>-89.15183606524297</v>
      </c>
      <c r="G295" s="12">
        <f t="shared" si="25"/>
        <v>7948.049873803958</v>
      </c>
      <c r="H295" s="13">
        <f t="shared" si="26"/>
        <v>0.31452738066196606</v>
      </c>
      <c r="I295" s="12">
        <f t="shared" si="27"/>
        <v>0</v>
      </c>
    </row>
    <row r="296" spans="2:9" ht="12.75" customHeight="1" hidden="1">
      <c r="B296" s="191">
        <v>220</v>
      </c>
      <c r="C296" s="21">
        <f t="shared" si="21"/>
        <v>231.24523579946543</v>
      </c>
      <c r="D296" s="14">
        <f t="shared" si="23"/>
        <v>140</v>
      </c>
      <c r="E296" s="15">
        <f t="shared" si="24"/>
        <v>323.537715777105</v>
      </c>
      <c r="F296" s="11">
        <f t="shared" si="22"/>
        <v>-92.29247997763957</v>
      </c>
      <c r="G296" s="12">
        <f t="shared" si="25"/>
        <v>8517.901860423002</v>
      </c>
      <c r="H296" s="13">
        <f t="shared" si="26"/>
        <v>0.31452738066196606</v>
      </c>
      <c r="I296" s="12">
        <f t="shared" si="27"/>
        <v>0</v>
      </c>
    </row>
    <row r="297" spans="2:9" ht="12.75" customHeight="1" hidden="1">
      <c r="B297" s="191">
        <v>221</v>
      </c>
      <c r="C297" s="21">
        <f t="shared" si="21"/>
        <v>230.4161979233908</v>
      </c>
      <c r="D297" s="14">
        <f t="shared" si="23"/>
        <v>139</v>
      </c>
      <c r="E297" s="15">
        <f t="shared" si="24"/>
        <v>325.8746984209729</v>
      </c>
      <c r="F297" s="11">
        <f t="shared" si="22"/>
        <v>-95.4585004975821</v>
      </c>
      <c r="G297" s="12">
        <f t="shared" si="25"/>
        <v>9112.325317246881</v>
      </c>
      <c r="H297" s="13">
        <f t="shared" si="26"/>
        <v>0.31452738066196606</v>
      </c>
      <c r="I297" s="12">
        <f t="shared" si="27"/>
        <v>0</v>
      </c>
    </row>
    <row r="298" spans="2:9" ht="12.75" customHeight="1" hidden="1">
      <c r="B298" s="191">
        <v>222</v>
      </c>
      <c r="C298" s="21">
        <f t="shared" si="21"/>
        <v>229.5947543067149</v>
      </c>
      <c r="D298" s="14">
        <f t="shared" si="23"/>
        <v>138</v>
      </c>
      <c r="E298" s="15">
        <f t="shared" si="24"/>
        <v>328.2454749965606</v>
      </c>
      <c r="F298" s="11">
        <f t="shared" si="22"/>
        <v>-98.65072068984568</v>
      </c>
      <c r="G298" s="12">
        <f t="shared" si="25"/>
        <v>9731.964692625947</v>
      </c>
      <c r="H298" s="13">
        <f t="shared" si="26"/>
        <v>0.31452738066196606</v>
      </c>
      <c r="I298" s="12">
        <f t="shared" si="27"/>
        <v>0</v>
      </c>
    </row>
    <row r="299" spans="2:9" ht="12.75" customHeight="1" hidden="1">
      <c r="B299" s="191">
        <v>223</v>
      </c>
      <c r="C299" s="21">
        <f t="shared" si="21"/>
        <v>228.78080276158948</v>
      </c>
      <c r="D299" s="14">
        <f t="shared" si="23"/>
        <v>137</v>
      </c>
      <c r="E299" s="15">
        <f t="shared" si="24"/>
        <v>330.65078550753367</v>
      </c>
      <c r="F299" s="11">
        <f t="shared" si="22"/>
        <v>-101.86998274594418</v>
      </c>
      <c r="G299" s="12">
        <f t="shared" si="25"/>
        <v>10377.493384658967</v>
      </c>
      <c r="H299" s="13">
        <f t="shared" si="26"/>
        <v>0.31452738066196606</v>
      </c>
      <c r="I299" s="12">
        <f t="shared" si="27"/>
        <v>0</v>
      </c>
    </row>
    <row r="300" spans="2:9" ht="12.75" customHeight="1" hidden="1">
      <c r="B300" s="191">
        <v>224</v>
      </c>
      <c r="C300" s="21">
        <f t="shared" si="21"/>
        <v>227.97424292485147</v>
      </c>
      <c r="D300" s="14">
        <f t="shared" si="23"/>
        <v>136</v>
      </c>
      <c r="E300" s="15">
        <f t="shared" si="24"/>
        <v>333.09139172244454</v>
      </c>
      <c r="F300" s="11">
        <f t="shared" si="22"/>
        <v>-105.11714879759307</v>
      </c>
      <c r="G300" s="12">
        <f t="shared" si="25"/>
        <v>11049.614971335322</v>
      </c>
      <c r="H300" s="13">
        <f t="shared" si="26"/>
        <v>0.31452738066196606</v>
      </c>
      <c r="I300" s="12">
        <f t="shared" si="27"/>
        <v>0</v>
      </c>
    </row>
    <row r="301" spans="2:9" ht="12.75" customHeight="1" hidden="1">
      <c r="B301" s="191">
        <v>225</v>
      </c>
      <c r="C301" s="21">
        <f t="shared" si="21"/>
        <v>227.1749762174738</v>
      </c>
      <c r="D301" s="14">
        <f t="shared" si="23"/>
        <v>135</v>
      </c>
      <c r="E301" s="15">
        <f t="shared" si="24"/>
        <v>335.56807798084054</v>
      </c>
      <c r="F301" s="11">
        <f t="shared" si="22"/>
        <v>-108.39310176336673</v>
      </c>
      <c r="G301" s="12">
        <f t="shared" si="25"/>
        <v>11749.064509883576</v>
      </c>
      <c r="H301" s="13">
        <f t="shared" si="26"/>
        <v>0.31452738066196606</v>
      </c>
      <c r="I301" s="12">
        <f t="shared" si="27"/>
        <v>0</v>
      </c>
    </row>
    <row r="302" spans="2:9" ht="12.75" customHeight="1" hidden="1">
      <c r="B302" s="191">
        <v>226</v>
      </c>
      <c r="C302" s="21">
        <f t="shared" si="21"/>
        <v>226.38290580509445</v>
      </c>
      <c r="D302" s="14">
        <f t="shared" si="23"/>
        <v>134</v>
      </c>
      <c r="E302" s="15">
        <f t="shared" si="24"/>
        <v>338.081652035463</v>
      </c>
      <c r="F302" s="11">
        <f t="shared" si="22"/>
        <v>-111.69874623036853</v>
      </c>
      <c r="G302" s="12">
        <f t="shared" si="25"/>
        <v>12476.609909436267</v>
      </c>
      <c r="H302" s="13">
        <f t="shared" si="26"/>
        <v>0.31452738066196606</v>
      </c>
      <c r="I302" s="12">
        <f t="shared" si="27"/>
        <v>0</v>
      </c>
    </row>
    <row r="303" spans="2:9" ht="12.75" customHeight="1" hidden="1">
      <c r="B303" s="191">
        <v>227</v>
      </c>
      <c r="C303" s="21">
        <f t="shared" si="21"/>
        <v>225.59793655958703</v>
      </c>
      <c r="D303" s="14">
        <f t="shared" si="23"/>
        <v>133</v>
      </c>
      <c r="E303" s="15">
        <f t="shared" si="24"/>
        <v>340.63294593244507</v>
      </c>
      <c r="F303" s="11">
        <f t="shared" si="22"/>
        <v>-115.03500937285804</v>
      </c>
      <c r="G303" s="12">
        <f t="shared" si="25"/>
        <v>13233.053381413538</v>
      </c>
      <c r="H303" s="13">
        <f t="shared" si="26"/>
        <v>0.31452738066196606</v>
      </c>
      <c r="I303" s="12">
        <f t="shared" si="27"/>
        <v>0</v>
      </c>
    </row>
    <row r="304" spans="2:9" ht="12.75" customHeight="1" hidden="1">
      <c r="B304" s="191">
        <v>228</v>
      </c>
      <c r="C304" s="21">
        <f t="shared" si="21"/>
        <v>224.81997502164376</v>
      </c>
      <c r="D304" s="14">
        <f t="shared" si="23"/>
        <v>132</v>
      </c>
      <c r="E304" s="15">
        <f t="shared" si="24"/>
        <v>343.22281693151433</v>
      </c>
      <c r="F304" s="11">
        <f t="shared" si="22"/>
        <v>-118.40284190987057</v>
      </c>
      <c r="G304" s="12">
        <f t="shared" si="25"/>
        <v>14019.232972333804</v>
      </c>
      <c r="H304" s="13">
        <f t="shared" si="26"/>
        <v>0.31452738066196606</v>
      </c>
      <c r="I304" s="12">
        <f t="shared" si="27"/>
        <v>0</v>
      </c>
    </row>
    <row r="305" spans="2:9" ht="12.75" customHeight="1" hidden="1">
      <c r="B305" s="191">
        <v>229</v>
      </c>
      <c r="C305" s="21">
        <f t="shared" si="21"/>
        <v>224.0489293643382</v>
      </c>
      <c r="D305" s="14">
        <f t="shared" si="23"/>
        <v>131</v>
      </c>
      <c r="E305" s="15">
        <f t="shared" si="24"/>
        <v>345.8521484683452</v>
      </c>
      <c r="F305" s="11">
        <f t="shared" si="22"/>
        <v>-121.80321910400701</v>
      </c>
      <c r="G305" s="12">
        <f t="shared" si="25"/>
        <v>14836.024184098738</v>
      </c>
      <c r="H305" s="13">
        <f t="shared" si="26"/>
        <v>0.31452738066196606</v>
      </c>
      <c r="I305" s="12">
        <f t="shared" si="27"/>
        <v>0</v>
      </c>
    </row>
    <row r="306" spans="2:9" ht="12.75" customHeight="1" hidden="1">
      <c r="B306" s="191">
        <v>230</v>
      </c>
      <c r="C306" s="21">
        <f t="shared" si="21"/>
        <v>223.2847093576387</v>
      </c>
      <c r="D306" s="14">
        <f t="shared" si="23"/>
        <v>130</v>
      </c>
      <c r="E306" s="15">
        <f t="shared" si="24"/>
        <v>348.52185116132387</v>
      </c>
      <c r="F306" s="11">
        <f t="shared" si="22"/>
        <v>-125.23714180368518</v>
      </c>
      <c r="G306" s="12">
        <f t="shared" si="25"/>
        <v>15684.34168715635</v>
      </c>
      <c r="H306" s="13">
        <f t="shared" si="26"/>
        <v>0.31452738066196606</v>
      </c>
      <c r="I306" s="12">
        <f t="shared" si="27"/>
        <v>0</v>
      </c>
    </row>
    <row r="307" spans="2:9" ht="12.75" customHeight="1" hidden="1">
      <c r="B307" s="191">
        <v>231</v>
      </c>
      <c r="C307" s="21">
        <f t="shared" si="21"/>
        <v>222.52722633384434</v>
      </c>
      <c r="D307" s="14">
        <f t="shared" si="23"/>
        <v>129</v>
      </c>
      <c r="E307" s="15">
        <f t="shared" si="24"/>
        <v>351.23286386514377</v>
      </c>
      <c r="F307" s="11">
        <f t="shared" si="22"/>
        <v>-128.70563753129943</v>
      </c>
      <c r="G307" s="12">
        <f t="shared" si="25"/>
        <v>16565.14113233823</v>
      </c>
      <c r="H307" s="13">
        <f t="shared" si="26"/>
        <v>0.31452738066196606</v>
      </c>
      <c r="I307" s="12">
        <f t="shared" si="27"/>
        <v>0</v>
      </c>
    </row>
    <row r="308" spans="2:9" ht="12.75" customHeight="1" hidden="1">
      <c r="B308" s="191">
        <v>232</v>
      </c>
      <c r="C308" s="21">
        <f t="shared" si="21"/>
        <v>221.7763931539129</v>
      </c>
      <c r="D308" s="14">
        <f t="shared" si="23"/>
        <v>128</v>
      </c>
      <c r="E308" s="15">
        <f t="shared" si="24"/>
        <v>353.9861547737859</v>
      </c>
      <c r="F308" s="11">
        <f t="shared" si="22"/>
        <v>-132.20976161987303</v>
      </c>
      <c r="G308" s="12">
        <f t="shared" si="25"/>
        <v>17479.421067583655</v>
      </c>
      <c r="H308" s="13">
        <f t="shared" si="26"/>
        <v>0.31452738066196606</v>
      </c>
      <c r="I308" s="12">
        <f t="shared" si="27"/>
        <v>0</v>
      </c>
    </row>
    <row r="309" spans="2:9" ht="12.75" customHeight="1" hidden="1">
      <c r="B309" s="191">
        <v>233</v>
      </c>
      <c r="C309" s="21">
        <f t="shared" si="21"/>
        <v>221.0321241746582</v>
      </c>
      <c r="D309" s="14">
        <f t="shared" si="23"/>
        <v>127</v>
      </c>
      <c r="E309" s="15">
        <f t="shared" si="24"/>
        <v>356.7827225756087</v>
      </c>
      <c r="F309" s="11">
        <f t="shared" si="22"/>
        <v>-135.7505984009505</v>
      </c>
      <c r="G309" s="12">
        <f t="shared" si="25"/>
        <v>18428.22496621615</v>
      </c>
      <c r="H309" s="13">
        <f t="shared" si="26"/>
        <v>0.31452738066196606</v>
      </c>
      <c r="I309" s="12">
        <f t="shared" si="27"/>
        <v>0</v>
      </c>
    </row>
    <row r="310" spans="2:9" ht="12.75" customHeight="1" hidden="1">
      <c r="B310" s="191">
        <v>234</v>
      </c>
      <c r="C310" s="21">
        <f t="shared" si="21"/>
        <v>220.2943352167868</v>
      </c>
      <c r="D310" s="14">
        <f t="shared" si="23"/>
        <v>126</v>
      </c>
      <c r="E310" s="15">
        <f t="shared" si="24"/>
        <v>359.6235976634425</v>
      </c>
      <c r="F310" s="11">
        <f t="shared" si="22"/>
        <v>-139.32926244665572</v>
      </c>
      <c r="G310" s="12">
        <f t="shared" si="25"/>
        <v>19412.643373929066</v>
      </c>
      <c r="H310" s="13">
        <f t="shared" si="26"/>
        <v>0.31452738066196606</v>
      </c>
      <c r="I310" s="12">
        <f t="shared" si="27"/>
        <v>0</v>
      </c>
    </row>
    <row r="311" spans="2:9" ht="12.75" customHeight="1" hidden="1">
      <c r="B311" s="191">
        <v>235</v>
      </c>
      <c r="C311" s="21">
        <f t="shared" si="21"/>
        <v>219.56294353375154</v>
      </c>
      <c r="D311" s="14">
        <f t="shared" si="23"/>
        <v>125</v>
      </c>
      <c r="E311" s="15">
        <f t="shared" si="24"/>
        <v>362.50984340276733</v>
      </c>
      <c r="F311" s="11">
        <f t="shared" si="22"/>
        <v>-142.9468998690158</v>
      </c>
      <c r="G311" s="12">
        <f t="shared" si="25"/>
        <v>20433.816182162427</v>
      </c>
      <c r="H311" s="13">
        <f t="shared" si="26"/>
        <v>0.31452738066196606</v>
      </c>
      <c r="I311" s="12">
        <f t="shared" si="27"/>
        <v>0</v>
      </c>
    </row>
    <row r="312" spans="2:9" ht="12.75" customHeight="1" hidden="1">
      <c r="B312" s="191">
        <v>236</v>
      </c>
      <c r="C312" s="21">
        <f t="shared" si="21"/>
        <v>218.8378677813971</v>
      </c>
      <c r="D312" s="14">
        <f t="shared" si="23"/>
        <v>124</v>
      </c>
      <c r="E312" s="15">
        <f t="shared" si="24"/>
        <v>365.4425574612581</v>
      </c>
      <c r="F312" s="11">
        <f t="shared" si="22"/>
        <v>-146.604689679861</v>
      </c>
      <c r="G312" s="12">
        <f t="shared" si="25"/>
        <v>21492.93503612834</v>
      </c>
      <c r="H312" s="13">
        <f t="shared" si="26"/>
        <v>0.31452738066196606</v>
      </c>
      <c r="I312" s="12">
        <f t="shared" si="27"/>
        <v>0</v>
      </c>
    </row>
    <row r="313" spans="2:9" ht="12.75" customHeight="1" hidden="1">
      <c r="B313" s="191">
        <v>237</v>
      </c>
      <c r="C313" s="21">
        <f t="shared" si="21"/>
        <v>218.11902798837326</v>
      </c>
      <c r="D313" s="14">
        <f t="shared" si="23"/>
        <v>123</v>
      </c>
      <c r="E313" s="15">
        <f t="shared" si="24"/>
        <v>368.42287320317894</v>
      </c>
      <c r="F313" s="11">
        <f t="shared" si="22"/>
        <v>-150.30384521480568</v>
      </c>
      <c r="G313" s="12">
        <f t="shared" si="25"/>
        <v>22591.245886356264</v>
      </c>
      <c r="H313" s="13">
        <f t="shared" si="26"/>
        <v>0.31452738066196606</v>
      </c>
      <c r="I313" s="12">
        <f t="shared" si="27"/>
        <v>0</v>
      </c>
    </row>
    <row r="314" spans="2:9" ht="12.75" customHeight="1" hidden="1">
      <c r="B314" s="191">
        <v>238</v>
      </c>
      <c r="C314" s="21">
        <f t="shared" si="21"/>
        <v>217.40634552729458</v>
      </c>
      <c r="D314" s="14">
        <f t="shared" si="23"/>
        <v>122</v>
      </c>
      <c r="E314" s="15">
        <f t="shared" si="24"/>
        <v>371.45196115236234</v>
      </c>
      <c r="F314" s="11">
        <f t="shared" si="22"/>
        <v>-154.04561562506777</v>
      </c>
      <c r="G314" s="12">
        <f t="shared" si="25"/>
        <v>23730.051693306123</v>
      </c>
      <c r="H314" s="13">
        <f t="shared" si="26"/>
        <v>0.31452738066196606</v>
      </c>
      <c r="I314" s="12">
        <f t="shared" si="27"/>
        <v>0</v>
      </c>
    </row>
    <row r="315" spans="2:9" ht="12.75" customHeight="1" hidden="1">
      <c r="B315" s="191">
        <v>239</v>
      </c>
      <c r="C315" s="21">
        <f t="shared" si="21"/>
        <v>216.69974308662486</v>
      </c>
      <c r="D315" s="14">
        <f t="shared" si="23"/>
        <v>121</v>
      </c>
      <c r="E315" s="15">
        <f t="shared" si="24"/>
        <v>374.5310305277251</v>
      </c>
      <c r="F315" s="11">
        <f t="shared" si="22"/>
        <v>-157.83128744110022</v>
      </c>
      <c r="G315" s="12">
        <f t="shared" si="25"/>
        <v>24910.7152953152</v>
      </c>
      <c r="H315" s="13">
        <f t="shared" si="26"/>
        <v>0.31452738066196606</v>
      </c>
      <c r="I315" s="12">
        <f t="shared" si="27"/>
        <v>0</v>
      </c>
    </row>
    <row r="316" spans="2:9" ht="12.75" customHeight="1" hidden="1">
      <c r="B316" s="191">
        <v>240</v>
      </c>
      <c r="C316" s="21">
        <f t="shared" si="21"/>
        <v>215.99914464326255</v>
      </c>
      <c r="D316" s="14">
        <f t="shared" si="23"/>
        <v>120</v>
      </c>
      <c r="E316" s="15">
        <f t="shared" si="24"/>
        <v>377.66133085556487</v>
      </c>
      <c r="F316" s="11">
        <f t="shared" si="22"/>
        <v>-161.66218621230232</v>
      </c>
      <c r="G316" s="12">
        <f t="shared" si="25"/>
        <v>26134.66245094111</v>
      </c>
      <c r="H316" s="13">
        <f t="shared" si="26"/>
        <v>0.31452738066196606</v>
      </c>
      <c r="I316" s="12">
        <f t="shared" si="27"/>
        <v>0</v>
      </c>
    </row>
    <row r="317" spans="2:9" ht="12.75" customHeight="1" hidden="1">
      <c r="B317" s="191">
        <v>241</v>
      </c>
      <c r="C317" s="21">
        <f t="shared" si="21"/>
        <v>215.30447543581025</v>
      </c>
      <c r="D317" s="14">
        <f t="shared" si="23"/>
        <v>119</v>
      </c>
      <c r="E317" s="15">
        <f t="shared" si="24"/>
        <v>380.8441536631486</v>
      </c>
      <c r="F317" s="11">
        <f t="shared" si="22"/>
        <v>-165.53967822733833</v>
      </c>
      <c r="G317" s="12">
        <f t="shared" si="25"/>
        <v>27403.38506761071</v>
      </c>
      <c r="H317" s="13">
        <f t="shared" si="26"/>
        <v>0.31452738066196606</v>
      </c>
      <c r="I317" s="12">
        <f t="shared" si="27"/>
        <v>0</v>
      </c>
    </row>
    <row r="318" spans="2:9" ht="12.75" customHeight="1" hidden="1">
      <c r="B318" s="191">
        <v>242</v>
      </c>
      <c r="C318" s="21">
        <f t="shared" si="21"/>
        <v>214.61566193850678</v>
      </c>
      <c r="D318" s="14">
        <f t="shared" si="23"/>
        <v>118</v>
      </c>
      <c r="E318" s="15">
        <f t="shared" si="24"/>
        <v>384.08083425841215</v>
      </c>
      <c r="F318" s="11">
        <f t="shared" si="22"/>
        <v>-169.46517231990538</v>
      </c>
      <c r="G318" s="12">
        <f t="shared" si="25"/>
        <v>28718.444629415222</v>
      </c>
      <c r="H318" s="13">
        <f t="shared" si="26"/>
        <v>0.31452738066196606</v>
      </c>
      <c r="I318" s="12">
        <f t="shared" si="27"/>
        <v>0</v>
      </c>
    </row>
    <row r="319" spans="2:9" ht="12.75" customHeight="1" hidden="1">
      <c r="B319" s="191">
        <v>243</v>
      </c>
      <c r="C319" s="21">
        <f t="shared" si="21"/>
        <v>213.93263183580254</v>
      </c>
      <c r="D319" s="14">
        <f t="shared" si="23"/>
        <v>117</v>
      </c>
      <c r="E319" s="15">
        <f t="shared" si="24"/>
        <v>387.37275360093156</v>
      </c>
      <c r="F319" s="11">
        <f t="shared" si="22"/>
        <v>-173.44012176512902</v>
      </c>
      <c r="G319" s="12">
        <f t="shared" si="25"/>
        <v>30081.47583790278</v>
      </c>
      <c r="H319" s="13">
        <f t="shared" si="26"/>
        <v>0.31452738066196606</v>
      </c>
      <c r="I319" s="12">
        <f t="shared" si="27"/>
        <v>0</v>
      </c>
    </row>
    <row r="320" spans="2:9" ht="12.75" customHeight="1" hidden="1">
      <c r="B320" s="191">
        <v>244</v>
      </c>
      <c r="C320" s="21">
        <f t="shared" si="21"/>
        <v>213.25531399755957</v>
      </c>
      <c r="D320" s="14">
        <f t="shared" si="23"/>
        <v>116</v>
      </c>
      <c r="E320" s="15">
        <f t="shared" si="24"/>
        <v>390.7213402696653</v>
      </c>
      <c r="F320" s="11">
        <f t="shared" si="22"/>
        <v>-177.46602627210572</v>
      </c>
      <c r="G320" s="12">
        <f t="shared" si="25"/>
        <v>31494.190480811718</v>
      </c>
      <c r="H320" s="13">
        <f t="shared" si="26"/>
        <v>0.31452738066196606</v>
      </c>
      <c r="I320" s="12">
        <f t="shared" si="27"/>
        <v>0</v>
      </c>
    </row>
    <row r="321" spans="2:9" ht="12.75" customHeight="1" hidden="1">
      <c r="B321" s="191">
        <v>245</v>
      </c>
      <c r="C321" s="21">
        <f t="shared" si="21"/>
        <v>212.58363845486056</v>
      </c>
      <c r="D321" s="14">
        <f t="shared" si="23"/>
        <v>115</v>
      </c>
      <c r="E321" s="15">
        <f t="shared" si="24"/>
        <v>394.12807253336115</v>
      </c>
      <c r="F321" s="11">
        <f t="shared" si="22"/>
        <v>-181.5444340785006</v>
      </c>
      <c r="G321" s="12">
        <f t="shared" si="25"/>
        <v>32958.38154488304</v>
      </c>
      <c r="H321" s="13">
        <f t="shared" si="26"/>
        <v>0.31452738066196606</v>
      </c>
      <c r="I321" s="12">
        <f t="shared" si="27"/>
        <v>0</v>
      </c>
    </row>
    <row r="322" spans="2:9" ht="12.75" customHeight="1" hidden="1">
      <c r="B322" s="191">
        <v>246</v>
      </c>
      <c r="C322" s="21">
        <f t="shared" si="21"/>
        <v>211.91753637640574</v>
      </c>
      <c r="D322" s="14">
        <f t="shared" si="23"/>
        <v>114</v>
      </c>
      <c r="E322" s="15">
        <f t="shared" si="24"/>
        <v>397.5944805299352</v>
      </c>
      <c r="F322" s="11">
        <f t="shared" si="22"/>
        <v>-185.67694415352946</v>
      </c>
      <c r="G322" s="12">
        <f t="shared" si="25"/>
        <v>34475.9275901929</v>
      </c>
      <c r="H322" s="13">
        <f t="shared" si="26"/>
        <v>0.31452738066196606</v>
      </c>
      <c r="I322" s="12">
        <f t="shared" si="27"/>
        <v>0</v>
      </c>
    </row>
    <row r="323" spans="2:9" ht="12.75" customHeight="1" hidden="1">
      <c r="B323" s="191">
        <v>247</v>
      </c>
      <c r="C323" s="21">
        <f t="shared" si="21"/>
        <v>211.25694004548544</v>
      </c>
      <c r="D323" s="14">
        <f t="shared" si="23"/>
        <v>113</v>
      </c>
      <c r="E323" s="15">
        <f t="shared" si="24"/>
        <v>401.122148561565</v>
      </c>
      <c r="F323" s="11">
        <f t="shared" si="22"/>
        <v>-189.86520851607955</v>
      </c>
      <c r="G323" s="12">
        <f t="shared" si="25"/>
        <v>36048.79740485437</v>
      </c>
      <c r="H323" s="13">
        <f t="shared" si="26"/>
        <v>0.31452738066196606</v>
      </c>
      <c r="I323" s="12">
        <f t="shared" si="27"/>
        <v>0</v>
      </c>
    </row>
    <row r="324" spans="2:9" ht="12.75" customHeight="1" hidden="1">
      <c r="B324" s="191">
        <v>248</v>
      </c>
      <c r="C324" s="21">
        <f t="shared" si="21"/>
        <v>210.6017828375074</v>
      </c>
      <c r="D324" s="14">
        <f t="shared" si="23"/>
        <v>112</v>
      </c>
      <c r="E324" s="15">
        <f t="shared" si="24"/>
        <v>404.7127175127398</v>
      </c>
      <c r="F324" s="11">
        <f t="shared" si="22"/>
        <v>-194.11093467523241</v>
      </c>
      <c r="G324" s="12">
        <f t="shared" si="25"/>
        <v>37679.05496049234</v>
      </c>
      <c r="H324" s="13">
        <f t="shared" si="26"/>
        <v>0.31452738066196606</v>
      </c>
      <c r="I324" s="12">
        <f t="shared" si="27"/>
        <v>0</v>
      </c>
    </row>
    <row r="325" spans="2:9" ht="12.75" customHeight="1" hidden="1">
      <c r="B325" s="191">
        <v>249</v>
      </c>
      <c r="C325" s="21">
        <f t="shared" si="21"/>
        <v>209.9519991980678</v>
      </c>
      <c r="D325" s="14">
        <f t="shared" si="23"/>
        <v>111</v>
      </c>
      <c r="E325" s="15">
        <f t="shared" si="24"/>
        <v>408.36788739901135</v>
      </c>
      <c r="F325" s="11">
        <f t="shared" si="22"/>
        <v>-198.41588820094356</v>
      </c>
      <c r="G325" s="12">
        <f t="shared" si="25"/>
        <v>39368.86469056933</v>
      </c>
      <c r="H325" s="13">
        <f t="shared" si="26"/>
        <v>0.31452738066196606</v>
      </c>
      <c r="I325" s="12">
        <f t="shared" si="27"/>
        <v>0</v>
      </c>
    </row>
    <row r="326" spans="2:9" ht="12.75" customHeight="1" hidden="1">
      <c r="B326" s="191">
        <v>250</v>
      </c>
      <c r="C326" s="21">
        <f t="shared" si="21"/>
        <v>209.30752462154663</v>
      </c>
      <c r="D326" s="14">
        <f t="shared" si="23"/>
        <v>110</v>
      </c>
      <c r="E326" s="15">
        <f t="shared" si="24"/>
        <v>412.0894200547703</v>
      </c>
      <c r="F326" s="11">
        <f t="shared" si="22"/>
        <v>-202.78189543322367</v>
      </c>
      <c r="G326" s="12">
        <f t="shared" si="25"/>
        <v>41120.497115490856</v>
      </c>
      <c r="H326" s="13">
        <f t="shared" si="26"/>
        <v>0.31452738066196606</v>
      </c>
      <c r="I326" s="12">
        <f t="shared" si="27"/>
        <v>0</v>
      </c>
    </row>
    <row r="327" spans="2:9" ht="12.75" customHeight="1" hidden="1">
      <c r="B327" s="191">
        <v>251</v>
      </c>
      <c r="C327" s="21">
        <f t="shared" si="21"/>
        <v>208.66829563021642</v>
      </c>
      <c r="D327" s="14">
        <f t="shared" si="23"/>
        <v>109</v>
      </c>
      <c r="E327" s="15">
        <f t="shared" si="24"/>
        <v>415.8791419689729</v>
      </c>
      <c r="F327" s="11">
        <f t="shared" si="22"/>
        <v>-207.21084633875645</v>
      </c>
      <c r="G327" s="12">
        <f t="shared" si="25"/>
        <v>42936.33484042374</v>
      </c>
      <c r="H327" s="13">
        <f t="shared" si="26"/>
        <v>0.31452738066196606</v>
      </c>
      <c r="I327" s="12">
        <f t="shared" si="27"/>
        <v>0</v>
      </c>
    </row>
    <row r="328" spans="2:9" ht="12.75" customHeight="1" hidden="1">
      <c r="B328" s="191">
        <v>252</v>
      </c>
      <c r="C328" s="21">
        <f t="shared" si="21"/>
        <v>208.03424975384743</v>
      </c>
      <c r="D328" s="14">
        <f t="shared" si="23"/>
        <v>108</v>
      </c>
      <c r="E328" s="15">
        <f t="shared" si="24"/>
        <v>419.73894727840724</v>
      </c>
      <c r="F328" s="11">
        <f t="shared" si="22"/>
        <v>-211.7046975245598</v>
      </c>
      <c r="G328" s="12">
        <f t="shared" si="25"/>
        <v>44818.87895396536</v>
      </c>
      <c r="H328" s="13">
        <f t="shared" si="26"/>
        <v>0.31452738066196606</v>
      </c>
      <c r="I328" s="12">
        <f t="shared" si="27"/>
        <v>0</v>
      </c>
    </row>
    <row r="329" spans="2:9" ht="12.75" customHeight="1" hidden="1">
      <c r="B329" s="191">
        <v>253</v>
      </c>
      <c r="C329" s="21">
        <f t="shared" si="21"/>
        <v>207.4053255097961</v>
      </c>
      <c r="D329" s="14">
        <f t="shared" si="23"/>
        <v>107</v>
      </c>
      <c r="E329" s="15">
        <f t="shared" si="24"/>
        <v>423.6708009288069</v>
      </c>
      <c r="F329" s="11">
        <f t="shared" si="22"/>
        <v>-216.26547541901078</v>
      </c>
      <c r="G329" s="12">
        <f t="shared" si="25"/>
        <v>46770.75585821076</v>
      </c>
      <c r="H329" s="13">
        <f t="shared" si="26"/>
        <v>0.31452738066196606</v>
      </c>
      <c r="I329" s="12">
        <f t="shared" si="27"/>
        <v>0</v>
      </c>
    </row>
    <row r="330" spans="2:9" ht="12.75" customHeight="1" hidden="1">
      <c r="B330" s="191">
        <v>254</v>
      </c>
      <c r="C330" s="21">
        <f t="shared" si="21"/>
        <v>206.78146238356524</v>
      </c>
      <c r="D330" s="14">
        <f t="shared" si="23"/>
        <v>106</v>
      </c>
      <c r="E330" s="15">
        <f t="shared" si="24"/>
        <v>427.6767420148979</v>
      </c>
      <c r="F330" s="11">
        <f t="shared" si="22"/>
        <v>-220.89527963133267</v>
      </c>
      <c r="G330" s="12">
        <f t="shared" si="25"/>
        <v>48794.724563404656</v>
      </c>
      <c r="H330" s="13">
        <f t="shared" si="26"/>
        <v>0.31452738066196606</v>
      </c>
      <c r="I330" s="12">
        <f t="shared" si="27"/>
        <v>0</v>
      </c>
    </row>
    <row r="331" spans="2:9" ht="12.75" customHeight="1" hidden="1">
      <c r="B331" s="191">
        <v>255</v>
      </c>
      <c r="C331" s="21">
        <f t="shared" si="21"/>
        <v>206.16260080982045</v>
      </c>
      <c r="D331" s="14">
        <f t="shared" si="23"/>
        <v>105</v>
      </c>
      <c r="E331" s="15">
        <f t="shared" si="24"/>
        <v>431.75888731129913</v>
      </c>
      <c r="F331" s="11">
        <f t="shared" si="22"/>
        <v>-225.5962865014787</v>
      </c>
      <c r="G331" s="12">
        <f t="shared" si="25"/>
        <v>50893.68448325725</v>
      </c>
      <c r="H331" s="13">
        <f t="shared" si="26"/>
        <v>0.31452738066196606</v>
      </c>
      <c r="I331" s="12">
        <f t="shared" si="27"/>
        <v>0</v>
      </c>
    </row>
    <row r="332" spans="2:9" ht="12.75" customHeight="1" hidden="1">
      <c r="B332" s="191">
        <v>256</v>
      </c>
      <c r="C332" s="21">
        <f t="shared" si="21"/>
        <v>205.54868215385196</v>
      </c>
      <c r="D332" s="14">
        <f t="shared" si="23"/>
        <v>104</v>
      </c>
      <c r="E332" s="15">
        <f t="shared" si="24"/>
        <v>435.9194350071354</v>
      </c>
      <c r="F332" s="11">
        <f t="shared" si="22"/>
        <v>-230.37075285328345</v>
      </c>
      <c r="G332" s="12">
        <f t="shared" si="25"/>
        <v>53070.6837701886</v>
      </c>
      <c r="H332" s="13">
        <f t="shared" si="26"/>
        <v>0.31452738066196606</v>
      </c>
      <c r="I332" s="12">
        <f t="shared" si="27"/>
        <v>0</v>
      </c>
    </row>
    <row r="333" spans="2:9" ht="12.75" customHeight="1" hidden="1">
      <c r="B333" s="191">
        <v>257</v>
      </c>
      <c r="C333" s="21">
        <f aca="true" t="shared" si="28" ref="C333:C396">($F$25/12)*POWER((($F$25/12)+1),B333)/(POWER((($F$25/12)+1),B333)-1)*$F$27</f>
        <v>204.93964869346877</v>
      </c>
      <c r="D333" s="14">
        <f t="shared" si="23"/>
        <v>103</v>
      </c>
      <c r="E333" s="15">
        <f t="shared" si="24"/>
        <v>440.1606686581991</v>
      </c>
      <c r="F333" s="11">
        <f aca="true" t="shared" si="29" ref="F333:F396">C333-E333</f>
        <v>-235.22101996473032</v>
      </c>
      <c r="G333" s="12">
        <f t="shared" si="25"/>
        <v>55328.92823324806</v>
      </c>
      <c r="H333" s="13">
        <f t="shared" si="26"/>
        <v>0.31452738066196606</v>
      </c>
      <c r="I333" s="12">
        <f t="shared" si="27"/>
        <v>0</v>
      </c>
    </row>
    <row r="334" spans="2:9" ht="12.75" customHeight="1" hidden="1">
      <c r="B334" s="191">
        <v>258</v>
      </c>
      <c r="C334" s="21">
        <f t="shared" si="28"/>
        <v>204.33544360131492</v>
      </c>
      <c r="D334" s="14">
        <f aca="true" t="shared" si="30" ref="D334:D397">IF($F$50-B334=0,1,$F$50-B334)</f>
        <v>102</v>
      </c>
      <c r="E334" s="15">
        <f aca="true" t="shared" si="31" ref="E334:E397">(2%/12)*POWER(((2%/12)+1),D334)/(POWER(((2%/12)+1),D334)-1)*(($E$11+$E$12)+((POWER((1+1/100),(($C$28*12+B334)/12))-1)*($E$11+$E$12)))</f>
        <v>444.48496137158605</v>
      </c>
      <c r="F334" s="11">
        <f t="shared" si="29"/>
        <v>-240.14951777027113</v>
      </c>
      <c r="G334" s="12">
        <f aca="true" t="shared" si="32" ref="G334:G397">F334*F334</f>
        <v>57671.79088529377</v>
      </c>
      <c r="H334" s="13">
        <f aca="true" t="shared" si="33" ref="H334:H397">MIN($G$77:$G$434)</f>
        <v>0.31452738066196606</v>
      </c>
      <c r="I334" s="12">
        <f aca="true" t="shared" si="34" ref="I334:I397">IF(G334=H334,B334,0)</f>
        <v>0</v>
      </c>
    </row>
    <row r="335" spans="2:9" ht="12.75" customHeight="1" hidden="1">
      <c r="B335" s="191">
        <v>259</v>
      </c>
      <c r="C335" s="21">
        <f t="shared" si="28"/>
        <v>203.7360109275942</v>
      </c>
      <c r="D335" s="14">
        <f t="shared" si="30"/>
        <v>101</v>
      </c>
      <c r="E335" s="15">
        <f t="shared" si="31"/>
        <v>448.894780238932</v>
      </c>
      <c r="F335" s="11">
        <f t="shared" si="29"/>
        <v>-245.1587693113378</v>
      </c>
      <c r="G335" s="12">
        <f t="shared" si="32"/>
        <v>60102.82217024975</v>
      </c>
      <c r="H335" s="13">
        <f t="shared" si="33"/>
        <v>0.31452738066196606</v>
      </c>
      <c r="I335" s="12">
        <f t="shared" si="34"/>
        <v>0</v>
      </c>
    </row>
    <row r="336" spans="2:9" ht="12.75" customHeight="1" hidden="1">
      <c r="B336" s="191">
        <v>260</v>
      </c>
      <c r="C336" s="21">
        <f t="shared" si="28"/>
        <v>203.14129558319453</v>
      </c>
      <c r="D336" s="14">
        <f t="shared" si="30"/>
        <v>100</v>
      </c>
      <c r="E336" s="15">
        <f t="shared" si="31"/>
        <v>453.39269103564084</v>
      </c>
      <c r="F336" s="11">
        <f t="shared" si="29"/>
        <v>-250.2513954524463</v>
      </c>
      <c r="G336" s="12">
        <f t="shared" si="32"/>
        <v>62625.76092589666</v>
      </c>
      <c r="H336" s="13">
        <f t="shared" si="33"/>
        <v>0.31452738066196606</v>
      </c>
      <c r="I336" s="12">
        <f t="shared" si="34"/>
        <v>0</v>
      </c>
    </row>
    <row r="337" spans="2:9" ht="12.75" customHeight="1" hidden="1">
      <c r="B337" s="191">
        <v>261</v>
      </c>
      <c r="C337" s="21">
        <f t="shared" si="28"/>
        <v>202.55124332319917</v>
      </c>
      <c r="D337" s="14">
        <f t="shared" si="30"/>
        <v>99</v>
      </c>
      <c r="E337" s="15">
        <f t="shared" si="31"/>
        <v>457.9813632049096</v>
      </c>
      <c r="F337" s="11">
        <f t="shared" si="29"/>
        <v>-255.43011988171043</v>
      </c>
      <c r="G337" s="12">
        <f t="shared" si="32"/>
        <v>65244.54614278496</v>
      </c>
      <c r="H337" s="13">
        <f t="shared" si="33"/>
        <v>0.31452738066196606</v>
      </c>
      <c r="I337" s="12">
        <f t="shared" si="34"/>
        <v>0</v>
      </c>
    </row>
    <row r="338" spans="2:9" ht="12.75" customHeight="1" hidden="1">
      <c r="B338" s="191">
        <v>262</v>
      </c>
      <c r="C338" s="21">
        <f t="shared" si="28"/>
        <v>201.96580073077683</v>
      </c>
      <c r="D338" s="14">
        <f t="shared" si="30"/>
        <v>98</v>
      </c>
      <c r="E338" s="15">
        <f t="shared" si="31"/>
        <v>462.66357514690367</v>
      </c>
      <c r="F338" s="11">
        <f t="shared" si="29"/>
        <v>-260.69777441612683</v>
      </c>
      <c r="G338" s="12">
        <f t="shared" si="32"/>
        <v>67963.32958552176</v>
      </c>
      <c r="H338" s="13">
        <f t="shared" si="33"/>
        <v>0.31452738066196606</v>
      </c>
      <c r="I338" s="12">
        <f t="shared" si="34"/>
        <v>0</v>
      </c>
    </row>
    <row r="339" spans="2:9" ht="12.75" customHeight="1" hidden="1">
      <c r="B339" s="191">
        <v>263</v>
      </c>
      <c r="C339" s="21">
        <f t="shared" si="28"/>
        <v>201.3849152014383</v>
      </c>
      <c r="D339" s="14">
        <f t="shared" si="30"/>
        <v>97</v>
      </c>
      <c r="E339" s="15">
        <f t="shared" si="31"/>
        <v>467.4422198350949</v>
      </c>
      <c r="F339" s="11">
        <f t="shared" si="29"/>
        <v>-266.0573046336566</v>
      </c>
      <c r="G339" s="12">
        <f t="shared" si="32"/>
        <v>70786.48934892635</v>
      </c>
      <c r="H339" s="13">
        <f t="shared" si="33"/>
        <v>0.31452738066196606</v>
      </c>
      <c r="I339" s="12">
        <f t="shared" si="34"/>
        <v>0</v>
      </c>
    </row>
    <row r="340" spans="2:9" ht="12.75" customHeight="1" hidden="1">
      <c r="B340" s="191">
        <v>264</v>
      </c>
      <c r="C340" s="21">
        <f t="shared" si="28"/>
        <v>200.80853492765146</v>
      </c>
      <c r="D340" s="14">
        <f t="shared" si="30"/>
        <v>96</v>
      </c>
      <c r="E340" s="15">
        <f t="shared" si="31"/>
        <v>472.3203107836226</v>
      </c>
      <c r="F340" s="11">
        <f t="shared" si="29"/>
        <v>-271.5117758559711</v>
      </c>
      <c r="G340" s="12">
        <f t="shared" si="32"/>
        <v>73718.6444284631</v>
      </c>
      <c r="H340" s="13">
        <f t="shared" si="33"/>
        <v>0.31452738066196606</v>
      </c>
      <c r="I340" s="12">
        <f t="shared" si="34"/>
        <v>0</v>
      </c>
    </row>
    <row r="341" spans="2:9" ht="12.75" customHeight="1" hidden="1">
      <c r="B341" s="191">
        <v>265</v>
      </c>
      <c r="C341" s="21">
        <f t="shared" si="28"/>
        <v>200.23660888380425</v>
      </c>
      <c r="D341" s="14">
        <f t="shared" si="30"/>
        <v>95</v>
      </c>
      <c r="E341" s="15">
        <f t="shared" si="31"/>
        <v>477.30098839153777</v>
      </c>
      <c r="F341" s="11">
        <f t="shared" si="29"/>
        <v>-277.0643795077335</v>
      </c>
      <c r="G341" s="12">
        <f t="shared" si="32"/>
        <v>76764.67039200538</v>
      </c>
      <c r="H341" s="13">
        <f t="shared" si="33"/>
        <v>0.31452738066196606</v>
      </c>
      <c r="I341" s="12">
        <f t="shared" si="34"/>
        <v>0</v>
      </c>
    </row>
    <row r="342" spans="2:9" ht="12.75" customHeight="1" hidden="1">
      <c r="B342" s="191">
        <v>266</v>
      </c>
      <c r="C342" s="21">
        <f t="shared" si="28"/>
        <v>199.66908681150704</v>
      </c>
      <c r="D342" s="14">
        <f t="shared" si="30"/>
        <v>94</v>
      </c>
      <c r="E342" s="15">
        <f t="shared" si="31"/>
        <v>482.38752669199965</v>
      </c>
      <c r="F342" s="11">
        <f t="shared" si="29"/>
        <v>-282.7184398804926</v>
      </c>
      <c r="G342" s="12">
        <f t="shared" si="32"/>
        <v>79929.71624845972</v>
      </c>
      <c r="H342" s="13">
        <f t="shared" si="33"/>
        <v>0.31452738066196606</v>
      </c>
      <c r="I342" s="12">
        <f t="shared" si="34"/>
        <v>0</v>
      </c>
    </row>
    <row r="343" spans="2:9" ht="12.75" customHeight="1" hidden="1">
      <c r="B343" s="191">
        <v>267</v>
      </c>
      <c r="C343" s="21">
        <f t="shared" si="28"/>
        <v>199.10591920522523</v>
      </c>
      <c r="D343" s="14">
        <f t="shared" si="30"/>
        <v>93</v>
      </c>
      <c r="E343" s="15">
        <f t="shared" si="31"/>
        <v>487.58334053690686</v>
      </c>
      <c r="F343" s="11">
        <f t="shared" si="29"/>
        <v>-288.4774213316816</v>
      </c>
      <c r="G343" s="12">
        <f t="shared" si="32"/>
        <v>83219.22261817656</v>
      </c>
      <c r="H343" s="13">
        <f t="shared" si="33"/>
        <v>0.31452738066196606</v>
      </c>
      <c r="I343" s="12">
        <f t="shared" si="34"/>
        <v>0</v>
      </c>
    </row>
    <row r="344" spans="2:9" ht="12.75" customHeight="1" hidden="1">
      <c r="B344" s="191">
        <v>268</v>
      </c>
      <c r="C344" s="21">
        <f t="shared" si="28"/>
        <v>198.54705729823363</v>
      </c>
      <c r="D344" s="14">
        <f t="shared" si="30"/>
        <v>92</v>
      </c>
      <c r="E344" s="15">
        <f t="shared" si="31"/>
        <v>492.89199325009236</v>
      </c>
      <c r="F344" s="11">
        <f t="shared" si="29"/>
        <v>-294.3449359518587</v>
      </c>
      <c r="G344" s="12">
        <f t="shared" si="32"/>
        <v>86638.9413205038</v>
      </c>
      <c r="H344" s="13">
        <f t="shared" si="33"/>
        <v>0.31452738066196606</v>
      </c>
      <c r="I344" s="12">
        <f t="shared" si="34"/>
        <v>0</v>
      </c>
    </row>
    <row r="345" spans="2:9" ht="12.75" customHeight="1" hidden="1">
      <c r="B345" s="191">
        <v>269</v>
      </c>
      <c r="C345" s="21">
        <f t="shared" si="28"/>
        <v>197.9924530488838</v>
      </c>
      <c r="D345" s="14">
        <f t="shared" si="30"/>
        <v>91</v>
      </c>
      <c r="E345" s="15">
        <f t="shared" si="31"/>
        <v>498.31720478511505</v>
      </c>
      <c r="F345" s="11">
        <f t="shared" si="29"/>
        <v>-300.3247517362313</v>
      </c>
      <c r="G345" s="12">
        <f t="shared" si="32"/>
        <v>90194.95650542896</v>
      </c>
      <c r="H345" s="13">
        <f t="shared" si="33"/>
        <v>0.31452738066196606</v>
      </c>
      <c r="I345" s="12">
        <f t="shared" si="34"/>
        <v>0</v>
      </c>
    </row>
    <row r="346" spans="2:9" ht="12.75" customHeight="1" hidden="1">
      <c r="B346" s="191">
        <v>270</v>
      </c>
      <c r="C346" s="21">
        <f t="shared" si="28"/>
        <v>197.44205912717695</v>
      </c>
      <c r="D346" s="14">
        <f t="shared" si="30"/>
        <v>90</v>
      </c>
      <c r="E346" s="15">
        <f t="shared" si="31"/>
        <v>503.86286042691796</v>
      </c>
      <c r="F346" s="11">
        <f t="shared" si="29"/>
        <v>-306.420801299741</v>
      </c>
      <c r="G346" s="12">
        <f t="shared" si="32"/>
        <v>93893.70746917537</v>
      </c>
      <c r="H346" s="13">
        <f t="shared" si="33"/>
        <v>0.31452738066196606</v>
      </c>
      <c r="I346" s="12">
        <f t="shared" si="34"/>
        <v>0</v>
      </c>
    </row>
    <row r="347" spans="2:9" ht="12.75" customHeight="1" hidden="1">
      <c r="B347" s="191">
        <v>271</v>
      </c>
      <c r="C347" s="21">
        <f t="shared" si="28"/>
        <v>196.89582890163385</v>
      </c>
      <c r="D347" s="14">
        <f t="shared" si="30"/>
        <v>89</v>
      </c>
      <c r="E347" s="15">
        <f t="shared" si="31"/>
        <v>509.5330200801036</v>
      </c>
      <c r="F347" s="11">
        <f t="shared" si="29"/>
        <v>-312.6371911784697</v>
      </c>
      <c r="G347" s="12">
        <f t="shared" si="32"/>
        <v>97742.01330796303</v>
      </c>
      <c r="H347" s="13">
        <f t="shared" si="33"/>
        <v>0.31452738066196606</v>
      </c>
      <c r="I347" s="12">
        <f t="shared" si="34"/>
        <v>0</v>
      </c>
    </row>
    <row r="348" spans="2:9" ht="12.75" customHeight="1" hidden="1">
      <c r="B348" s="191">
        <v>272</v>
      </c>
      <c r="C348" s="21">
        <f t="shared" si="28"/>
        <v>196.3537164264545</v>
      </c>
      <c r="D348" s="14">
        <f t="shared" si="30"/>
        <v>88</v>
      </c>
      <c r="E348" s="15">
        <f t="shared" si="31"/>
        <v>515.331928190509</v>
      </c>
      <c r="F348" s="11">
        <f t="shared" si="29"/>
        <v>-318.97821176405444</v>
      </c>
      <c r="G348" s="12">
        <f t="shared" si="32"/>
        <v>101747.09958019396</v>
      </c>
      <c r="H348" s="13">
        <f t="shared" si="33"/>
        <v>0.31452738066196606</v>
      </c>
      <c r="I348" s="12">
        <f t="shared" si="34"/>
        <v>0</v>
      </c>
    </row>
    <row r="349" spans="2:9" ht="12.75" customHeight="1" hidden="1">
      <c r="B349" s="191">
        <v>273</v>
      </c>
      <c r="C349" s="21">
        <f t="shared" si="28"/>
        <v>195.81567642895982</v>
      </c>
      <c r="D349" s="14">
        <f t="shared" si="30"/>
        <v>87</v>
      </c>
      <c r="E349" s="15">
        <f t="shared" si="31"/>
        <v>521.2640243510233</v>
      </c>
      <c r="F349" s="11">
        <f t="shared" si="29"/>
        <v>-325.4483479220635</v>
      </c>
      <c r="G349" s="12">
        <f t="shared" si="32"/>
        <v>105916.62716520048</v>
      </c>
      <c r="H349" s="13">
        <f t="shared" si="33"/>
        <v>0.31452738066196606</v>
      </c>
      <c r="I349" s="12">
        <f t="shared" si="34"/>
        <v>0</v>
      </c>
    </row>
    <row r="350" spans="2:9" ht="12.75" customHeight="1" hidden="1">
      <c r="B350" s="191">
        <v>274</v>
      </c>
      <c r="C350" s="21">
        <f t="shared" si="28"/>
        <v>195.28166429730868</v>
      </c>
      <c r="D350" s="14">
        <f t="shared" si="30"/>
        <v>86</v>
      </c>
      <c r="E350" s="15">
        <f t="shared" si="31"/>
        <v>527.3339546473444</v>
      </c>
      <c r="F350" s="11">
        <f t="shared" si="29"/>
        <v>-332.0522903500357</v>
      </c>
      <c r="G350" s="12">
        <f t="shared" si="32"/>
        <v>110258.72352670443</v>
      </c>
      <c r="H350" s="13">
        <f t="shared" si="33"/>
        <v>0.31452738066196606</v>
      </c>
      <c r="I350" s="12">
        <f t="shared" si="34"/>
        <v>0</v>
      </c>
    </row>
    <row r="351" spans="2:9" ht="12.75" customHeight="1" hidden="1">
      <c r="B351" s="191">
        <v>275</v>
      </c>
      <c r="C351" s="21">
        <f t="shared" si="28"/>
        <v>194.75163606848272</v>
      </c>
      <c r="D351" s="14">
        <f t="shared" si="30"/>
        <v>85</v>
      </c>
      <c r="E351" s="15">
        <f t="shared" si="31"/>
        <v>533.5465838046135</v>
      </c>
      <c r="F351" s="11">
        <f t="shared" si="29"/>
        <v>-338.7949477361308</v>
      </c>
      <c r="G351" s="12">
        <f t="shared" si="32"/>
        <v>114782.0166115276</v>
      </c>
      <c r="H351" s="13">
        <f t="shared" si="33"/>
        <v>0.31452738066196606</v>
      </c>
      <c r="I351" s="12">
        <f t="shared" si="34"/>
        <v>0</v>
      </c>
    </row>
    <row r="352" spans="2:9" ht="12.75" customHeight="1" hidden="1">
      <c r="B352" s="191">
        <v>276</v>
      </c>
      <c r="C352" s="21">
        <f t="shared" si="28"/>
        <v>194.22554841653238</v>
      </c>
      <c r="D352" s="14">
        <f t="shared" si="30"/>
        <v>84</v>
      </c>
      <c r="E352" s="15">
        <f t="shared" si="31"/>
        <v>539.9070082016764</v>
      </c>
      <c r="F352" s="11">
        <f t="shared" si="29"/>
        <v>-345.681459785144</v>
      </c>
      <c r="G352" s="12">
        <f t="shared" si="32"/>
        <v>119495.67163918813</v>
      </c>
      <c r="H352" s="13">
        <f t="shared" si="33"/>
        <v>0.31452738066196606</v>
      </c>
      <c r="I352" s="12">
        <f t="shared" si="34"/>
        <v>0</v>
      </c>
    </row>
    <row r="353" spans="2:9" ht="12.75" customHeight="1" hidden="1">
      <c r="B353" s="191">
        <v>277</v>
      </c>
      <c r="C353" s="21">
        <f t="shared" si="28"/>
        <v>193.70335864107727</v>
      </c>
      <c r="D353" s="14">
        <f t="shared" si="30"/>
        <v>83</v>
      </c>
      <c r="E353" s="15">
        <f t="shared" si="31"/>
        <v>546.4205698261143</v>
      </c>
      <c r="F353" s="11">
        <f t="shared" si="29"/>
        <v>-352.717211185037</v>
      </c>
      <c r="G353" s="12">
        <f t="shared" si="32"/>
        <v>124409.43106614999</v>
      </c>
      <c r="H353" s="13">
        <f t="shared" si="33"/>
        <v>0.31452738066196606</v>
      </c>
      <c r="I353" s="12">
        <f t="shared" si="34"/>
        <v>0</v>
      </c>
    </row>
    <row r="354" spans="2:9" ht="12.75" customHeight="1" hidden="1">
      <c r="B354" s="191">
        <v>278</v>
      </c>
      <c r="C354" s="21">
        <f t="shared" si="28"/>
        <v>193.1850246560552</v>
      </c>
      <c r="D354" s="14">
        <f t="shared" si="30"/>
        <v>82</v>
      </c>
      <c r="E354" s="15">
        <f t="shared" si="31"/>
        <v>553.0928712503949</v>
      </c>
      <c r="F354" s="11">
        <f t="shared" si="29"/>
        <v>-359.9078465943397</v>
      </c>
      <c r="G354" s="12">
        <f t="shared" si="32"/>
        <v>129533.65804017473</v>
      </c>
      <c r="H354" s="13">
        <f t="shared" si="33"/>
        <v>0.31452738066196606</v>
      </c>
      <c r="I354" s="12">
        <f t="shared" si="34"/>
        <v>0</v>
      </c>
    </row>
    <row r="355" spans="2:9" ht="12.75" customHeight="1" hidden="1">
      <c r="B355" s="191">
        <v>279</v>
      </c>
      <c r="C355" s="21">
        <f t="shared" si="28"/>
        <v>192.67050497871313</v>
      </c>
      <c r="D355" s="14">
        <f t="shared" si="30"/>
        <v>81</v>
      </c>
      <c r="E355" s="15">
        <f t="shared" si="31"/>
        <v>559.9297917173537</v>
      </c>
      <c r="F355" s="11">
        <f t="shared" si="29"/>
        <v>-367.25928673864064</v>
      </c>
      <c r="G355" s="12">
        <f t="shared" si="32"/>
        <v>134879.38369577506</v>
      </c>
      <c r="H355" s="13">
        <f t="shared" si="33"/>
        <v>0.31452738066196606</v>
      </c>
      <c r="I355" s="12">
        <f t="shared" si="34"/>
        <v>0</v>
      </c>
    </row>
    <row r="356" spans="2:9" ht="12.75" customHeight="1" hidden="1">
      <c r="B356" s="191">
        <v>280</v>
      </c>
      <c r="C356" s="21">
        <f t="shared" si="28"/>
        <v>192.1597587188335</v>
      </c>
      <c r="D356" s="14">
        <f t="shared" si="30"/>
        <v>80</v>
      </c>
      <c r="E356" s="15">
        <f t="shared" si="31"/>
        <v>566.9375044320964</v>
      </c>
      <c r="F356" s="11">
        <f t="shared" si="29"/>
        <v>-374.7777457132629</v>
      </c>
      <c r="G356" s="12">
        <f t="shared" si="32"/>
        <v>140458.35868191515</v>
      </c>
      <c r="H356" s="13">
        <f t="shared" si="33"/>
        <v>0.31452738066196606</v>
      </c>
      <c r="I356" s="12">
        <f t="shared" si="34"/>
        <v>0</v>
      </c>
    </row>
    <row r="357" spans="2:9" ht="12.75" customHeight="1" hidden="1">
      <c r="B357" s="191">
        <v>281</v>
      </c>
      <c r="C357" s="21">
        <f t="shared" si="28"/>
        <v>191.6527455681913</v>
      </c>
      <c r="D357" s="14">
        <f t="shared" si="30"/>
        <v>79</v>
      </c>
      <c r="E357" s="15">
        <f t="shared" si="31"/>
        <v>574.1224951672044</v>
      </c>
      <c r="F357" s="11">
        <f t="shared" si="29"/>
        <v>-382.4697495990131</v>
      </c>
      <c r="G357" s="12">
        <f t="shared" si="32"/>
        <v>146283.10935833177</v>
      </c>
      <c r="H357" s="13">
        <f t="shared" si="33"/>
        <v>0.31452738066196606</v>
      </c>
      <c r="I357" s="12">
        <f t="shared" si="34"/>
        <v>0</v>
      </c>
    </row>
    <row r="358" spans="2:9" ht="12.75" customHeight="1" hidden="1">
      <c r="B358" s="191">
        <v>282</v>
      </c>
      <c r="C358" s="21">
        <f t="shared" si="28"/>
        <v>191.14942579023472</v>
      </c>
      <c r="D358" s="14">
        <f t="shared" si="30"/>
        <v>78</v>
      </c>
      <c r="E358" s="15">
        <f t="shared" si="31"/>
        <v>581.4915822991077</v>
      </c>
      <c r="F358" s="11">
        <f t="shared" si="29"/>
        <v>-390.34215650887296</v>
      </c>
      <c r="G358" s="12">
        <f t="shared" si="32"/>
        <v>152366.99914799747</v>
      </c>
      <c r="H358" s="13">
        <f t="shared" si="33"/>
        <v>0.31452738066196606</v>
      </c>
      <c r="I358" s="12">
        <f t="shared" si="34"/>
        <v>0</v>
      </c>
    </row>
    <row r="359" spans="2:9" ht="12.75" customHeight="1" hidden="1">
      <c r="B359" s="191">
        <v>283</v>
      </c>
      <c r="C359" s="21">
        <f t="shared" si="28"/>
        <v>190.64976020998532</v>
      </c>
      <c r="D359" s="14">
        <f t="shared" si="30"/>
        <v>77</v>
      </c>
      <c r="E359" s="15">
        <f t="shared" si="31"/>
        <v>589.0519384057445</v>
      </c>
      <c r="F359" s="11">
        <f t="shared" si="29"/>
        <v>-398.40217819575923</v>
      </c>
      <c r="G359" s="12">
        <f t="shared" si="32"/>
        <v>158724.2955911255</v>
      </c>
      <c r="H359" s="13">
        <f t="shared" si="33"/>
        <v>0.31452738066196606</v>
      </c>
      <c r="I359" s="12">
        <f t="shared" si="34"/>
        <v>0</v>
      </c>
    </row>
    <row r="360" spans="2:9" ht="12.75" customHeight="1" hidden="1">
      <c r="B360" s="191">
        <v>284</v>
      </c>
      <c r="C360" s="21">
        <f t="shared" si="28"/>
        <v>190.15371020415128</v>
      </c>
      <c r="D360" s="14">
        <f t="shared" si="30"/>
        <v>76</v>
      </c>
      <c r="E360" s="15">
        <f t="shared" si="31"/>
        <v>596.8111135692866</v>
      </c>
      <c r="F360" s="11">
        <f t="shared" si="29"/>
        <v>-406.65740336513534</v>
      </c>
      <c r="G360" s="12">
        <f t="shared" si="32"/>
        <v>165370.24371167438</v>
      </c>
      <c r="H360" s="13">
        <f t="shared" si="33"/>
        <v>0.31452738066196606</v>
      </c>
      <c r="I360" s="12">
        <f t="shared" si="34"/>
        <v>0</v>
      </c>
    </row>
    <row r="361" spans="2:9" ht="12.75" customHeight="1" hidden="1">
      <c r="B361" s="191">
        <v>285</v>
      </c>
      <c r="C361" s="21">
        <f t="shared" si="28"/>
        <v>189.66123769144832</v>
      </c>
      <c r="D361" s="14">
        <f t="shared" si="30"/>
        <v>75</v>
      </c>
      <c r="E361" s="15">
        <f t="shared" si="31"/>
        <v>604.7770605430887</v>
      </c>
      <c r="F361" s="11">
        <f t="shared" si="29"/>
        <v>-415.1158228516404</v>
      </c>
      <c r="G361" s="12">
        <f t="shared" si="32"/>
        <v>172321.1463817945</v>
      </c>
      <c r="H361" s="13">
        <f t="shared" si="33"/>
        <v>0.31452738066196606</v>
      </c>
      <c r="I361" s="12">
        <f t="shared" si="34"/>
        <v>0</v>
      </c>
    </row>
    <row r="362" spans="2:9" ht="12.75" customHeight="1" hidden="1">
      <c r="B362" s="191">
        <v>286</v>
      </c>
      <c r="C362" s="21">
        <f t="shared" si="28"/>
        <v>189.17230512312457</v>
      </c>
      <c r="D362" s="14">
        <f t="shared" si="30"/>
        <v>74</v>
      </c>
      <c r="E362" s="15">
        <f t="shared" si="31"/>
        <v>612.958161959205</v>
      </c>
      <c r="F362" s="11">
        <f t="shared" si="29"/>
        <v>-423.78585683608037</v>
      </c>
      <c r="G362" s="12">
        <f t="shared" si="32"/>
        <v>179594.45245429082</v>
      </c>
      <c r="H362" s="13">
        <f t="shared" si="33"/>
        <v>0.31452738066196606</v>
      </c>
      <c r="I362" s="12">
        <f t="shared" si="34"/>
        <v>0</v>
      </c>
    </row>
    <row r="363" spans="2:9" ht="12.75" customHeight="1" hidden="1">
      <c r="B363" s="191">
        <v>287</v>
      </c>
      <c r="C363" s="21">
        <f t="shared" si="28"/>
        <v>188.68687547368293</v>
      </c>
      <c r="D363" s="14">
        <f t="shared" si="30"/>
        <v>73</v>
      </c>
      <c r="E363" s="15">
        <f t="shared" si="31"/>
        <v>621.3632597721297</v>
      </c>
      <c r="F363" s="11">
        <f t="shared" si="29"/>
        <v>-432.6763842984468</v>
      </c>
      <c r="G363" s="12">
        <f t="shared" si="32"/>
        <v>187208.85352957723</v>
      </c>
      <c r="H363" s="13">
        <f t="shared" si="33"/>
        <v>0.31452738066196606</v>
      </c>
      <c r="I363" s="12">
        <f t="shared" si="34"/>
        <v>0</v>
      </c>
    </row>
    <row r="364" spans="2:9" ht="12.75" customHeight="1" hidden="1">
      <c r="B364" s="191">
        <v>288</v>
      </c>
      <c r="C364" s="21">
        <f t="shared" si="28"/>
        <v>188.20491223179664</v>
      </c>
      <c r="D364" s="14">
        <f t="shared" si="30"/>
        <v>72</v>
      </c>
      <c r="E364" s="15">
        <f t="shared" si="31"/>
        <v>630.0016871561929</v>
      </c>
      <c r="F364" s="11">
        <f t="shared" si="29"/>
        <v>-441.7967749243963</v>
      </c>
      <c r="G364" s="12">
        <f t="shared" si="32"/>
        <v>195184.39033359766</v>
      </c>
      <c r="H364" s="13">
        <f t="shared" si="33"/>
        <v>0.31452738066196606</v>
      </c>
      <c r="I364" s="12">
        <f t="shared" si="34"/>
        <v>0</v>
      </c>
    </row>
    <row r="365" spans="2:9" ht="12.75" customHeight="1" hidden="1">
      <c r="B365" s="191">
        <v>289</v>
      </c>
      <c r="C365" s="21">
        <f t="shared" si="28"/>
        <v>187.7263793914139</v>
      </c>
      <c r="D365" s="14">
        <f t="shared" si="30"/>
        <v>71</v>
      </c>
      <c r="E365" s="15">
        <f t="shared" si="31"/>
        <v>638.8833030985083</v>
      </c>
      <c r="F365" s="11">
        <f t="shared" si="29"/>
        <v>-451.15692370709445</v>
      </c>
      <c r="G365" s="12">
        <f t="shared" si="32"/>
        <v>203542.56980884905</v>
      </c>
      <c r="H365" s="13">
        <f t="shared" si="33"/>
        <v>0.31452738066196606</v>
      </c>
      <c r="I365" s="12">
        <f t="shared" si="34"/>
        <v>0</v>
      </c>
    </row>
    <row r="366" spans="2:9" ht="12.75" customHeight="1" hidden="1">
      <c r="B366" s="191">
        <v>290</v>
      </c>
      <c r="C366" s="21">
        <f t="shared" si="28"/>
        <v>187.25124144304613</v>
      </c>
      <c r="D366" s="14">
        <f t="shared" si="30"/>
        <v>70</v>
      </c>
      <c r="E366" s="15">
        <f t="shared" si="31"/>
        <v>648.0185299570217</v>
      </c>
      <c r="F366" s="11">
        <f t="shared" si="29"/>
        <v>-460.76728851397553</v>
      </c>
      <c r="G366" s="12">
        <f t="shared" si="32"/>
        <v>212306.49416452117</v>
      </c>
      <c r="H366" s="13">
        <f t="shared" si="33"/>
        <v>0.31452738066196606</v>
      </c>
      <c r="I366" s="12">
        <f t="shared" si="34"/>
        <v>0</v>
      </c>
    </row>
    <row r="367" spans="2:9" ht="12.75" customHeight="1" hidden="1">
      <c r="B367" s="191">
        <v>291</v>
      </c>
      <c r="C367" s="21">
        <f t="shared" si="28"/>
        <v>186.7794633652364</v>
      </c>
      <c r="D367" s="14">
        <f t="shared" si="30"/>
        <v>69</v>
      </c>
      <c r="E367" s="15">
        <f t="shared" si="31"/>
        <v>657.4183942844921</v>
      </c>
      <c r="F367" s="11">
        <f t="shared" si="29"/>
        <v>-470.6389309192557</v>
      </c>
      <c r="G367" s="12">
        <f t="shared" si="32"/>
        <v>221501.00329681995</v>
      </c>
      <c r="H367" s="13">
        <f t="shared" si="33"/>
        <v>0.31452738066196606</v>
      </c>
      <c r="I367" s="12">
        <f t="shared" si="34"/>
        <v>0</v>
      </c>
    </row>
    <row r="368" spans="2:9" ht="12.75" customHeight="1" hidden="1">
      <c r="B368" s="191">
        <v>292</v>
      </c>
      <c r="C368" s="21">
        <f t="shared" si="28"/>
        <v>186.31101061620222</v>
      </c>
      <c r="D368" s="14">
        <f t="shared" si="30"/>
        <v>68</v>
      </c>
      <c r="E368" s="15">
        <f t="shared" si="31"/>
        <v>667.0945712545788</v>
      </c>
      <c r="F368" s="11">
        <f t="shared" si="29"/>
        <v>-480.78356063837657</v>
      </c>
      <c r="G368" s="12">
        <f t="shared" si="32"/>
        <v>231152.8321801155</v>
      </c>
      <c r="H368" s="13">
        <f t="shared" si="33"/>
        <v>0.31452738066196606</v>
      </c>
      <c r="I368" s="12">
        <f t="shared" si="34"/>
        <v>0</v>
      </c>
    </row>
    <row r="369" spans="2:9" ht="12.75" customHeight="1" hidden="1">
      <c r="B369" s="191">
        <v>293</v>
      </c>
      <c r="C369" s="21">
        <f t="shared" si="28"/>
        <v>185.8458491256504</v>
      </c>
      <c r="D369" s="14">
        <f t="shared" si="30"/>
        <v>67</v>
      </c>
      <c r="E369" s="15">
        <f t="shared" si="31"/>
        <v>677.059433066384</v>
      </c>
      <c r="F369" s="11">
        <f t="shared" si="29"/>
        <v>-491.21358394073366</v>
      </c>
      <c r="G369" s="12">
        <f t="shared" si="32"/>
        <v>241290.7850479002</v>
      </c>
      <c r="H369" s="13">
        <f t="shared" si="33"/>
        <v>0.31452738066196606</v>
      </c>
      <c r="I369" s="12">
        <f t="shared" si="34"/>
        <v>0</v>
      </c>
    </row>
    <row r="370" spans="2:9" ht="12.75" customHeight="1" hidden="1">
      <c r="B370" s="191">
        <v>294</v>
      </c>
      <c r="C370" s="21">
        <f t="shared" si="28"/>
        <v>185.38394528675857</v>
      </c>
      <c r="D370" s="14">
        <f t="shared" si="30"/>
        <v>66</v>
      </c>
      <c r="E370" s="15">
        <f t="shared" si="31"/>
        <v>687.3261017494134</v>
      </c>
      <c r="F370" s="11">
        <f t="shared" si="29"/>
        <v>-501.9421564626548</v>
      </c>
      <c r="G370" s="12">
        <f t="shared" si="32"/>
        <v>251945.9284343802</v>
      </c>
      <c r="H370" s="13">
        <f t="shared" si="33"/>
        <v>0.31452738066196606</v>
      </c>
      <c r="I370" s="12">
        <f t="shared" si="34"/>
        <v>0</v>
      </c>
    </row>
    <row r="371" spans="2:9" ht="12.75" customHeight="1" hidden="1">
      <c r="B371" s="191">
        <v>295</v>
      </c>
      <c r="C371" s="21">
        <f t="shared" si="28"/>
        <v>184.92526594831972</v>
      </c>
      <c r="D371" s="14">
        <f t="shared" si="30"/>
        <v>65</v>
      </c>
      <c r="E371" s="15">
        <f t="shared" si="31"/>
        <v>697.9085068428341</v>
      </c>
      <c r="F371" s="11">
        <f t="shared" si="29"/>
        <v>-512.9832408945143</v>
      </c>
      <c r="G371" s="12">
        <f t="shared" si="32"/>
        <v>263151.8054386393</v>
      </c>
      <c r="H371" s="13">
        <f t="shared" si="33"/>
        <v>0.31452738066196606</v>
      </c>
      <c r="I371" s="12">
        <f t="shared" si="34"/>
        <v>0</v>
      </c>
    </row>
    <row r="372" spans="2:9" ht="12.75" customHeight="1" hidden="1">
      <c r="B372" s="191">
        <v>296</v>
      </c>
      <c r="C372" s="21">
        <f t="shared" si="28"/>
        <v>184.469778407046</v>
      </c>
      <c r="D372" s="14">
        <f t="shared" si="30"/>
        <v>64</v>
      </c>
      <c r="E372" s="15">
        <f t="shared" si="31"/>
        <v>708.8214484821735</v>
      </c>
      <c r="F372" s="11">
        <f t="shared" si="29"/>
        <v>-524.3516700751276</v>
      </c>
      <c r="G372" s="12">
        <f t="shared" si="32"/>
        <v>274944.67391057545</v>
      </c>
      <c r="H372" s="13">
        <f t="shared" si="33"/>
        <v>0.31452738066196606</v>
      </c>
      <c r="I372" s="12">
        <f t="shared" si="34"/>
        <v>0</v>
      </c>
    </row>
    <row r="373" spans="2:9" ht="12.75" customHeight="1" hidden="1">
      <c r="B373" s="191">
        <v>297</v>
      </c>
      <c r="C373" s="21">
        <f t="shared" si="28"/>
        <v>184.01745040002817</v>
      </c>
      <c r="D373" s="14">
        <f t="shared" si="30"/>
        <v>63</v>
      </c>
      <c r="E373" s="15">
        <f t="shared" si="31"/>
        <v>720.0806664942612</v>
      </c>
      <c r="F373" s="11">
        <f t="shared" si="29"/>
        <v>-536.063216094233</v>
      </c>
      <c r="G373" s="12">
        <f t="shared" si="32"/>
        <v>287363.7716492923</v>
      </c>
      <c r="H373" s="13">
        <f t="shared" si="33"/>
        <v>0.31452738066196606</v>
      </c>
      <c r="I373" s="12">
        <f t="shared" si="34"/>
        <v>0</v>
      </c>
    </row>
    <row r="374" spans="2:9" ht="12.75" customHeight="1" hidden="1">
      <c r="B374" s="191">
        <v>298</v>
      </c>
      <c r="C374" s="21">
        <f t="shared" si="28"/>
        <v>183.5682500973468</v>
      </c>
      <c r="D374" s="14">
        <f t="shared" si="30"/>
        <v>62</v>
      </c>
      <c r="E374" s="15">
        <f t="shared" si="31"/>
        <v>731.7029161787918</v>
      </c>
      <c r="F374" s="11">
        <f t="shared" si="29"/>
        <v>-548.1346660814451</v>
      </c>
      <c r="G374" s="12">
        <f t="shared" si="32"/>
        <v>300451.6121602173</v>
      </c>
      <c r="H374" s="13">
        <f t="shared" si="33"/>
        <v>0.31452738066196606</v>
      </c>
      <c r="I374" s="12">
        <f t="shared" si="34"/>
        <v>0</v>
      </c>
    </row>
    <row r="375" spans="2:9" ht="12.75" customHeight="1" hidden="1">
      <c r="B375" s="191">
        <v>299</v>
      </c>
      <c r="C375" s="21">
        <f t="shared" si="28"/>
        <v>183.12214609483155</v>
      </c>
      <c r="D375" s="14">
        <f t="shared" si="30"/>
        <v>61</v>
      </c>
      <c r="E375" s="15">
        <f t="shared" si="31"/>
        <v>743.7060515437987</v>
      </c>
      <c r="F375" s="11">
        <f t="shared" si="29"/>
        <v>-560.5839054489671</v>
      </c>
      <c r="G375" s="12">
        <f t="shared" si="32"/>
        <v>314254.3150484165</v>
      </c>
      <c r="H375" s="13">
        <f t="shared" si="33"/>
        <v>0.31452738066196606</v>
      </c>
      <c r="I375" s="12">
        <f t="shared" si="34"/>
        <v>0</v>
      </c>
    </row>
    <row r="376" spans="2:9" ht="12.75" customHeight="1" hidden="1">
      <c r="B376" s="191">
        <v>300</v>
      </c>
      <c r="C376" s="21">
        <f t="shared" si="28"/>
        <v>182.67910740696558</v>
      </c>
      <c r="D376" s="14">
        <f t="shared" si="30"/>
        <v>60</v>
      </c>
      <c r="E376" s="15">
        <f t="shared" si="31"/>
        <v>756.1091168646926</v>
      </c>
      <c r="F376" s="11">
        <f t="shared" si="29"/>
        <v>-573.430009457727</v>
      </c>
      <c r="G376" s="12">
        <f t="shared" si="32"/>
        <v>328821.9757466889</v>
      </c>
      <c r="H376" s="13">
        <f t="shared" si="33"/>
        <v>0.31452738066196606</v>
      </c>
      <c r="I376" s="12">
        <f t="shared" si="34"/>
        <v>0</v>
      </c>
    </row>
    <row r="377" spans="2:9" ht="12.75" customHeight="1" hidden="1">
      <c r="B377" s="191">
        <v>301</v>
      </c>
      <c r="C377" s="21">
        <f t="shared" si="28"/>
        <v>182.2391034599311</v>
      </c>
      <c r="D377" s="14">
        <f t="shared" si="30"/>
        <v>59</v>
      </c>
      <c r="E377" s="15">
        <f t="shared" si="31"/>
        <v>768.9324475543652</v>
      </c>
      <c r="F377" s="11">
        <f t="shared" si="29"/>
        <v>-586.6933440944341</v>
      </c>
      <c r="G377" s="12">
        <f t="shared" si="32"/>
        <v>344209.08000471006</v>
      </c>
      <c r="H377" s="13">
        <f t="shared" si="33"/>
        <v>0.31452738066196606</v>
      </c>
      <c r="I377" s="12">
        <f t="shared" si="34"/>
        <v>0</v>
      </c>
    </row>
    <row r="378" spans="2:9" ht="12.75" customHeight="1" hidden="1">
      <c r="B378" s="191">
        <v>302</v>
      </c>
      <c r="C378" s="21">
        <f t="shared" si="28"/>
        <v>181.80210408479317</v>
      </c>
      <c r="D378" s="14">
        <f t="shared" si="30"/>
        <v>58</v>
      </c>
      <c r="E378" s="15">
        <f t="shared" si="31"/>
        <v>782.1977814681586</v>
      </c>
      <c r="F378" s="11">
        <f t="shared" si="29"/>
        <v>-600.3956773833654</v>
      </c>
      <c r="G378" s="12">
        <f t="shared" si="32"/>
        <v>360474.9694206302</v>
      </c>
      <c r="H378" s="13">
        <f t="shared" si="33"/>
        <v>0.31452738066196606</v>
      </c>
      <c r="I378" s="12">
        <f t="shared" si="34"/>
        <v>0</v>
      </c>
    </row>
    <row r="379" spans="2:9" ht="12.75" customHeight="1" hidden="1">
      <c r="B379" s="191">
        <v>303</v>
      </c>
      <c r="C379" s="21">
        <f t="shared" si="28"/>
        <v>181.36807951081897</v>
      </c>
      <c r="D379" s="14">
        <f t="shared" si="30"/>
        <v>57</v>
      </c>
      <c r="E379" s="15">
        <f t="shared" si="31"/>
        <v>795.9283819251201</v>
      </c>
      <c r="F379" s="11">
        <f t="shared" si="29"/>
        <v>-614.5603024143011</v>
      </c>
      <c r="G379" s="12">
        <f t="shared" si="32"/>
        <v>377684.3653035572</v>
      </c>
      <c r="H379" s="13">
        <f t="shared" si="33"/>
        <v>0.31452738066196606</v>
      </c>
      <c r="I379" s="12">
        <f t="shared" si="34"/>
        <v>0</v>
      </c>
    </row>
    <row r="380" spans="2:9" ht="12.75" customHeight="1" hidden="1">
      <c r="B380" s="191">
        <v>304</v>
      </c>
      <c r="C380" s="21">
        <f t="shared" si="28"/>
        <v>180.93700035892775</v>
      </c>
      <c r="D380" s="14">
        <f t="shared" si="30"/>
        <v>56</v>
      </c>
      <c r="E380" s="15">
        <f t="shared" si="31"/>
        <v>810.1491739101275</v>
      </c>
      <c r="F380" s="11">
        <f t="shared" si="29"/>
        <v>-629.2121735511997</v>
      </c>
      <c r="G380" s="12">
        <f t="shared" si="32"/>
        <v>395907.95934502507</v>
      </c>
      <c r="H380" s="13">
        <f t="shared" si="33"/>
        <v>0.31452738066196606</v>
      </c>
      <c r="I380" s="12">
        <f t="shared" si="34"/>
        <v>0</v>
      </c>
    </row>
    <row r="381" spans="2:9" ht="12.75" customHeight="1" hidden="1">
      <c r="B381" s="191">
        <v>305</v>
      </c>
      <c r="C381" s="21">
        <f t="shared" si="28"/>
        <v>180.508837635271</v>
      </c>
      <c r="D381" s="14">
        <f t="shared" si="30"/>
        <v>55</v>
      </c>
      <c r="E381" s="15">
        <f t="shared" si="31"/>
        <v>824.8868951344178</v>
      </c>
      <c r="F381" s="11">
        <f t="shared" si="29"/>
        <v>-644.3780574991468</v>
      </c>
      <c r="G381" s="12">
        <f t="shared" si="32"/>
        <v>415223.0809863738</v>
      </c>
      <c r="H381" s="13">
        <f t="shared" si="33"/>
        <v>0.31452738066196606</v>
      </c>
      <c r="I381" s="12">
        <f t="shared" si="34"/>
        <v>0</v>
      </c>
    </row>
    <row r="382" spans="2:9" ht="12.75" customHeight="1" hidden="1">
      <c r="B382" s="191">
        <v>306</v>
      </c>
      <c r="C382" s="21">
        <f t="shared" si="28"/>
        <v>180.08356272493754</v>
      </c>
      <c r="D382" s="14">
        <f t="shared" si="30"/>
        <v>54</v>
      </c>
      <c r="E382" s="15">
        <f t="shared" si="31"/>
        <v>840.1702638806128</v>
      </c>
      <c r="F382" s="11">
        <f t="shared" si="29"/>
        <v>-660.0867011556752</v>
      </c>
      <c r="G382" s="12">
        <f t="shared" si="32"/>
        <v>435714.4530425817</v>
      </c>
      <c r="H382" s="13">
        <f t="shared" si="33"/>
        <v>0.31452738066196606</v>
      </c>
      <c r="I382" s="12">
        <f t="shared" si="34"/>
        <v>0</v>
      </c>
    </row>
    <row r="383" spans="2:9" ht="12.75" customHeight="1" hidden="1">
      <c r="B383" s="191">
        <v>307</v>
      </c>
      <c r="C383" s="21">
        <f t="shared" si="28"/>
        <v>179.66114738578224</v>
      </c>
      <c r="D383" s="14">
        <f t="shared" si="30"/>
        <v>53</v>
      </c>
      <c r="E383" s="15">
        <f t="shared" si="31"/>
        <v>856.0301658490869</v>
      </c>
      <c r="F383" s="11">
        <f t="shared" si="29"/>
        <v>-676.3690184633047</v>
      </c>
      <c r="G383" s="12">
        <f t="shared" si="32"/>
        <v>457475.04913701414</v>
      </c>
      <c r="H383" s="13">
        <f t="shared" si="33"/>
        <v>0.31452738066196606</v>
      </c>
      <c r="I383" s="12">
        <f t="shared" si="34"/>
        <v>0</v>
      </c>
    </row>
    <row r="384" spans="2:9" ht="12.75" customHeight="1" hidden="1">
      <c r="B384" s="191">
        <v>308</v>
      </c>
      <c r="C384" s="21">
        <f t="shared" si="28"/>
        <v>179.24156374237427</v>
      </c>
      <c r="D384" s="14">
        <f t="shared" si="30"/>
        <v>52</v>
      </c>
      <c r="E384" s="15">
        <f t="shared" si="31"/>
        <v>872.499862563516</v>
      </c>
      <c r="F384" s="11">
        <f t="shared" si="29"/>
        <v>-693.2582988211417</v>
      </c>
      <c r="G384" s="12">
        <f t="shared" si="32"/>
        <v>480607.06888438336</v>
      </c>
      <c r="H384" s="13">
        <f t="shared" si="33"/>
        <v>0.31452738066196606</v>
      </c>
      <c r="I384" s="12">
        <f t="shared" si="34"/>
        <v>0</v>
      </c>
    </row>
    <row r="385" spans="2:9" ht="12.75" customHeight="1" hidden="1">
      <c r="B385" s="191">
        <v>309</v>
      </c>
      <c r="C385" s="21">
        <f t="shared" si="28"/>
        <v>178.8247842800638</v>
      </c>
      <c r="D385" s="14">
        <f t="shared" si="30"/>
        <v>51</v>
      </c>
      <c r="E385" s="15">
        <f t="shared" si="31"/>
        <v>889.6152242947246</v>
      </c>
      <c r="F385" s="11">
        <f t="shared" si="29"/>
        <v>-710.7904400146608</v>
      </c>
      <c r="G385" s="12">
        <f t="shared" si="32"/>
        <v>505223.04961623513</v>
      </c>
      <c r="H385" s="13">
        <f t="shared" si="33"/>
        <v>0.31452738066196606</v>
      </c>
      <c r="I385" s="12">
        <f t="shared" si="34"/>
        <v>0</v>
      </c>
    </row>
    <row r="386" spans="2:9" ht="12.75" customHeight="1" hidden="1">
      <c r="B386" s="191">
        <v>310</v>
      </c>
      <c r="C386" s="21">
        <f t="shared" si="28"/>
        <v>178.41078183916238</v>
      </c>
      <c r="D386" s="14">
        <f t="shared" si="30"/>
        <v>50</v>
      </c>
      <c r="E386" s="15">
        <f t="shared" si="31"/>
        <v>907.4149909354151</v>
      </c>
      <c r="F386" s="11">
        <f t="shared" si="29"/>
        <v>-729.0042090962527</v>
      </c>
      <c r="G386" s="12">
        <f t="shared" si="32"/>
        <v>531447.1368800529</v>
      </c>
      <c r="H386" s="13">
        <f t="shared" si="33"/>
        <v>0.31452738066196606</v>
      </c>
      <c r="I386" s="12">
        <f t="shared" si="34"/>
        <v>0</v>
      </c>
    </row>
    <row r="387" spans="2:9" ht="12.75" customHeight="1" hidden="1">
      <c r="B387" s="191">
        <v>311</v>
      </c>
      <c r="C387" s="21">
        <f t="shared" si="28"/>
        <v>177.99952960923693</v>
      </c>
      <c r="D387" s="14">
        <f t="shared" si="30"/>
        <v>49</v>
      </c>
      <c r="E387" s="15">
        <f t="shared" si="31"/>
        <v>925.9410648187081</v>
      </c>
      <c r="F387" s="11">
        <f t="shared" si="29"/>
        <v>-747.9415352094712</v>
      </c>
      <c r="G387" s="12">
        <f t="shared" si="32"/>
        <v>559416.5400915007</v>
      </c>
      <c r="H387" s="13">
        <f t="shared" si="33"/>
        <v>0.31452738066196606</v>
      </c>
      <c r="I387" s="12">
        <f t="shared" si="34"/>
        <v>0</v>
      </c>
    </row>
    <row r="388" spans="2:9" ht="12.75" customHeight="1" hidden="1">
      <c r="B388" s="191">
        <v>312</v>
      </c>
      <c r="C388" s="21">
        <f t="shared" si="28"/>
        <v>177.59100112351217</v>
      </c>
      <c r="D388" s="14">
        <f t="shared" si="30"/>
        <v>48</v>
      </c>
      <c r="E388" s="15">
        <f t="shared" si="31"/>
        <v>945.2388401390353</v>
      </c>
      <c r="F388" s="11">
        <f t="shared" si="29"/>
        <v>-767.6478390155232</v>
      </c>
      <c r="G388" s="12">
        <f t="shared" si="32"/>
        <v>589283.2047452027</v>
      </c>
      <c r="H388" s="13">
        <f t="shared" si="33"/>
        <v>0.31452738066196606</v>
      </c>
      <c r="I388" s="12">
        <f t="shared" si="34"/>
        <v>0</v>
      </c>
    </row>
    <row r="389" spans="2:9" ht="12.75" customHeight="1" hidden="1">
      <c r="B389" s="191">
        <v>313</v>
      </c>
      <c r="C389" s="21">
        <f t="shared" si="28"/>
        <v>177.18517025338144</v>
      </c>
      <c r="D389" s="14">
        <f t="shared" si="30"/>
        <v>47</v>
      </c>
      <c r="E389" s="15">
        <f t="shared" si="31"/>
        <v>965.3575744267432</v>
      </c>
      <c r="F389" s="11">
        <f t="shared" si="29"/>
        <v>-788.1724041733618</v>
      </c>
      <c r="G389" s="12">
        <f t="shared" si="32"/>
        <v>621215.7387004171</v>
      </c>
      <c r="H389" s="13">
        <f t="shared" si="33"/>
        <v>0.31452738066196606</v>
      </c>
      <c r="I389" s="12">
        <f t="shared" si="34"/>
        <v>0</v>
      </c>
    </row>
    <row r="390" spans="2:9" ht="12.75" customHeight="1" hidden="1">
      <c r="B390" s="191">
        <v>314</v>
      </c>
      <c r="C390" s="21">
        <f t="shared" si="28"/>
        <v>176.78201120302128</v>
      </c>
      <c r="D390" s="14">
        <f t="shared" si="30"/>
        <v>46</v>
      </c>
      <c r="E390" s="15">
        <f t="shared" si="31"/>
        <v>986.3508084758993</v>
      </c>
      <c r="F390" s="11">
        <f t="shared" si="29"/>
        <v>-809.568797272878</v>
      </c>
      <c r="G390" s="12">
        <f t="shared" si="32"/>
        <v>655401.6375178542</v>
      </c>
      <c r="H390" s="13">
        <f t="shared" si="33"/>
        <v>0.31452738066196606</v>
      </c>
      <c r="I390" s="12">
        <f t="shared" si="34"/>
        <v>0</v>
      </c>
    </row>
    <row r="391" spans="2:9" ht="12.75" customHeight="1" hidden="1">
      <c r="B391" s="191">
        <v>315</v>
      </c>
      <c r="C391" s="21">
        <f t="shared" si="28"/>
        <v>176.38149850411003</v>
      </c>
      <c r="D391" s="14">
        <f t="shared" si="30"/>
        <v>45</v>
      </c>
      <c r="E391" s="15">
        <f t="shared" si="31"/>
        <v>1008.2768422624972</v>
      </c>
      <c r="F391" s="11">
        <f t="shared" si="29"/>
        <v>-831.8953437583872</v>
      </c>
      <c r="G391" s="12">
        <f t="shared" si="32"/>
        <v>692049.8629668852</v>
      </c>
      <c r="H391" s="13">
        <f t="shared" si="33"/>
        <v>0.31452738066196606</v>
      </c>
      <c r="I391" s="12">
        <f t="shared" si="34"/>
        <v>0</v>
      </c>
    </row>
    <row r="392" spans="2:9" ht="12.75" customHeight="1" hidden="1">
      <c r="B392" s="191">
        <v>316</v>
      </c>
      <c r="C392" s="21">
        <f t="shared" si="28"/>
        <v>175.98360701064516</v>
      </c>
      <c r="D392" s="14">
        <f t="shared" si="30"/>
        <v>44</v>
      </c>
      <c r="E392" s="15">
        <f t="shared" si="31"/>
        <v>1031.1992757605815</v>
      </c>
      <c r="F392" s="11">
        <f t="shared" si="29"/>
        <v>-855.2156687499363</v>
      </c>
      <c r="G392" s="12">
        <f t="shared" si="32"/>
        <v>731393.8400754008</v>
      </c>
      <c r="H392" s="13">
        <f t="shared" si="33"/>
        <v>0.31452738066196606</v>
      </c>
      <c r="I392" s="12">
        <f t="shared" si="34"/>
        <v>0</v>
      </c>
    </row>
    <row r="393" spans="2:9" ht="12.75" customHeight="1" hidden="1">
      <c r="B393" s="191">
        <v>317</v>
      </c>
      <c r="C393" s="21">
        <f t="shared" si="28"/>
        <v>175.5883118938598</v>
      </c>
      <c r="D393" s="14">
        <f t="shared" si="30"/>
        <v>43</v>
      </c>
      <c r="E393" s="15">
        <f t="shared" si="31"/>
        <v>1055.1876252210789</v>
      </c>
      <c r="F393" s="11">
        <f t="shared" si="29"/>
        <v>-879.5993133272191</v>
      </c>
      <c r="G393" s="12">
        <f t="shared" si="32"/>
        <v>773694.9520057153</v>
      </c>
      <c r="H393" s="13">
        <f t="shared" si="33"/>
        <v>0.31452738066196606</v>
      </c>
      <c r="I393" s="12">
        <f t="shared" si="34"/>
        <v>0</v>
      </c>
    </row>
    <row r="394" spans="2:9" ht="12.75" customHeight="1" hidden="1">
      <c r="B394" s="191">
        <v>318</v>
      </c>
      <c r="C394" s="21">
        <f t="shared" si="28"/>
        <v>175.19558863723495</v>
      </c>
      <c r="D394" s="14">
        <f t="shared" si="30"/>
        <v>42</v>
      </c>
      <c r="E394" s="15">
        <f t="shared" si="31"/>
        <v>1080.3180274904964</v>
      </c>
      <c r="F394" s="11">
        <f t="shared" si="29"/>
        <v>-905.1224388532614</v>
      </c>
      <c r="G394" s="12">
        <f t="shared" si="32"/>
        <v>819246.6293156759</v>
      </c>
      <c r="H394" s="13">
        <f t="shared" si="33"/>
        <v>0.31452738066196606</v>
      </c>
      <c r="I394" s="12">
        <f t="shared" si="34"/>
        <v>0</v>
      </c>
    </row>
    <row r="395" spans="2:9" ht="12.75" customHeight="1" hidden="1">
      <c r="B395" s="191">
        <v>319</v>
      </c>
      <c r="C395" s="21">
        <f t="shared" si="28"/>
        <v>174.805413031605</v>
      </c>
      <c r="D395" s="14">
        <f t="shared" si="30"/>
        <v>41</v>
      </c>
      <c r="E395" s="15">
        <f t="shared" si="31"/>
        <v>1106.674047400605</v>
      </c>
      <c r="F395" s="11">
        <f t="shared" si="29"/>
        <v>-931.8686343690001</v>
      </c>
      <c r="G395" s="12">
        <f t="shared" si="32"/>
        <v>868379.1517207453</v>
      </c>
      <c r="H395" s="13">
        <f t="shared" si="33"/>
        <v>0.31452738066196606</v>
      </c>
      <c r="I395" s="12">
        <f t="shared" si="34"/>
        <v>0</v>
      </c>
    </row>
    <row r="396" spans="2:9" ht="12.75" customHeight="1" hidden="1">
      <c r="B396" s="191">
        <v>320</v>
      </c>
      <c r="C396" s="21">
        <f t="shared" si="28"/>
        <v>174.4177611703558</v>
      </c>
      <c r="D396" s="14">
        <f t="shared" si="30"/>
        <v>40</v>
      </c>
      <c r="E396" s="15">
        <f t="shared" si="31"/>
        <v>1134.3476062666075</v>
      </c>
      <c r="F396" s="11">
        <f t="shared" si="29"/>
        <v>-959.9298450962517</v>
      </c>
      <c r="G396" s="12">
        <f t="shared" si="32"/>
        <v>921465.3075065138</v>
      </c>
      <c r="H396" s="13">
        <f t="shared" si="33"/>
        <v>0.31452738066196606</v>
      </c>
      <c r="I396" s="12">
        <f t="shared" si="34"/>
        <v>0</v>
      </c>
    </row>
    <row r="397" spans="2:9" ht="12.75" customHeight="1" hidden="1">
      <c r="B397" s="191">
        <v>321</v>
      </c>
      <c r="C397" s="21">
        <f aca="true" t="shared" si="35" ref="C397:C438">($F$25/12)*POWER((($F$25/12)+1),B397)/(POWER((($F$25/12)+1),B397)-1)*$F$27</f>
        <v>174.03260944471148</v>
      </c>
      <c r="D397" s="14">
        <f t="shared" si="30"/>
        <v>39</v>
      </c>
      <c r="E397" s="15">
        <f t="shared" si="31"/>
        <v>1163.4400532311809</v>
      </c>
      <c r="F397" s="11">
        <f aca="true" t="shared" si="36" ref="F397:F438">C397-E397</f>
        <v>-989.4074437864693</v>
      </c>
      <c r="G397" s="12">
        <f t="shared" si="32"/>
        <v>978927.0898200755</v>
      </c>
      <c r="H397" s="13">
        <f t="shared" si="33"/>
        <v>0.31452738066196606</v>
      </c>
      <c r="I397" s="12">
        <f t="shared" si="34"/>
        <v>0</v>
      </c>
    </row>
    <row r="398" spans="2:9" ht="12.75" customHeight="1" hidden="1">
      <c r="B398" s="191">
        <v>322</v>
      </c>
      <c r="C398" s="21">
        <f t="shared" si="35"/>
        <v>173.64993453911055</v>
      </c>
      <c r="D398" s="14">
        <f aca="true" t="shared" si="37" ref="D398:D438">IF($F$50-B398=0,1,$F$50-B398)</f>
        <v>38</v>
      </c>
      <c r="E398" s="15">
        <f aca="true" t="shared" si="38" ref="E398:E438">(2%/12)*POWER(((2%/12)+1),D398)/(POWER(((2%/12)+1),D398)-1)*(($E$11+$E$12)+((POWER((1+1/100),(($C$28*12+B398)/12))-1)*($E$11+$E$12)))</f>
        <v>1194.06340576806</v>
      </c>
      <c r="F398" s="11">
        <f t="shared" si="36"/>
        <v>-1020.4134712289494</v>
      </c>
      <c r="G398" s="12">
        <f aca="true" t="shared" si="39" ref="G398:G438">F398*F398</f>
        <v>1041243.652265514</v>
      </c>
      <c r="H398" s="13">
        <f aca="true" t="shared" si="40" ref="H398:H438">MIN($G$77:$G$434)</f>
        <v>0.31452738066196606</v>
      </c>
      <c r="I398" s="12">
        <f aca="true" t="shared" si="41" ref="I398:I438">IF(G398=H398,B398,0)</f>
        <v>0</v>
      </c>
    </row>
    <row r="399" spans="2:9" ht="12.75" customHeight="1" hidden="1">
      <c r="B399" s="191">
        <v>323</v>
      </c>
      <c r="C399" s="21">
        <f t="shared" si="35"/>
        <v>173.2697134266663</v>
      </c>
      <c r="D399" s="14">
        <f t="shared" si="37"/>
        <v>37</v>
      </c>
      <c r="E399" s="15">
        <f t="shared" si="38"/>
        <v>1226.341791348417</v>
      </c>
      <c r="F399" s="11">
        <f t="shared" si="36"/>
        <v>-1053.0720779217506</v>
      </c>
      <c r="G399" s="12">
        <f t="shared" si="39"/>
        <v>1108960.8012984337</v>
      </c>
      <c r="H399" s="13">
        <f t="shared" si="40"/>
        <v>0.31452738066196606</v>
      </c>
      <c r="I399" s="12">
        <f t="shared" si="41"/>
        <v>0</v>
      </c>
    </row>
    <row r="400" spans="2:9" ht="12.75" customHeight="1" hidden="1">
      <c r="B400" s="191">
        <v>324</v>
      </c>
      <c r="C400" s="21">
        <f t="shared" si="35"/>
        <v>172.89192336471248</v>
      </c>
      <c r="D400" s="14">
        <f t="shared" si="37"/>
        <v>36</v>
      </c>
      <c r="E400" s="15">
        <f t="shared" si="38"/>
        <v>1260.4131293849632</v>
      </c>
      <c r="F400" s="11">
        <f t="shared" si="36"/>
        <v>-1087.5212060202507</v>
      </c>
      <c r="G400" s="12">
        <f t="shared" si="39"/>
        <v>1182702.3735437405</v>
      </c>
      <c r="H400" s="13">
        <f t="shared" si="40"/>
        <v>0.31452738066196606</v>
      </c>
      <c r="I400" s="12">
        <f t="shared" si="41"/>
        <v>0</v>
      </c>
    </row>
    <row r="401" spans="2:9" ht="12.75" customHeight="1" hidden="1">
      <c r="B401" s="191">
        <v>325</v>
      </c>
      <c r="C401" s="21">
        <f t="shared" si="35"/>
        <v>172.51654189043026</v>
      </c>
      <c r="D401" s="14">
        <f t="shared" si="37"/>
        <v>35</v>
      </c>
      <c r="E401" s="15">
        <f t="shared" si="38"/>
        <v>1296.431101509278</v>
      </c>
      <c r="F401" s="11">
        <f t="shared" si="36"/>
        <v>-1123.9145596188478</v>
      </c>
      <c r="G401" s="12">
        <f t="shared" si="39"/>
        <v>1263183.9373232285</v>
      </c>
      <c r="H401" s="13">
        <f t="shared" si="40"/>
        <v>0.31452738066196606</v>
      </c>
      <c r="I401" s="12">
        <f t="shared" si="41"/>
        <v>0</v>
      </c>
    </row>
    <row r="402" spans="2:9" ht="12.75" customHeight="1" hidden="1">
      <c r="B402" s="191">
        <v>326</v>
      </c>
      <c r="C402" s="21">
        <f t="shared" si="35"/>
        <v>172.1435468165568</v>
      </c>
      <c r="D402" s="14">
        <f t="shared" si="37"/>
        <v>34</v>
      </c>
      <c r="E402" s="15">
        <f t="shared" si="38"/>
        <v>1334.5674695452046</v>
      </c>
      <c r="F402" s="11">
        <f t="shared" si="36"/>
        <v>-1162.4239227286478</v>
      </c>
      <c r="G402" s="12">
        <f t="shared" si="39"/>
        <v>1351229.3761318573</v>
      </c>
      <c r="H402" s="13">
        <f t="shared" si="40"/>
        <v>0.31452738066196606</v>
      </c>
      <c r="I402" s="12">
        <f t="shared" si="41"/>
        <v>0</v>
      </c>
    </row>
    <row r="403" spans="2:9" ht="12.75" customHeight="1" hidden="1">
      <c r="B403" s="191">
        <v>327</v>
      </c>
      <c r="C403" s="21">
        <f t="shared" si="35"/>
        <v>171.77291622717124</v>
      </c>
      <c r="D403" s="14">
        <f t="shared" si="37"/>
        <v>33</v>
      </c>
      <c r="E403" s="15">
        <f t="shared" si="38"/>
        <v>1375.0148149318918</v>
      </c>
      <c r="F403" s="11">
        <f t="shared" si="36"/>
        <v>-1203.2418987047206</v>
      </c>
      <c r="G403" s="12">
        <f t="shared" si="39"/>
        <v>1447791.066798541</v>
      </c>
      <c r="H403" s="13">
        <f t="shared" si="40"/>
        <v>0.31452738066196606</v>
      </c>
      <c r="I403" s="12">
        <f t="shared" si="41"/>
        <v>0</v>
      </c>
    </row>
    <row r="404" spans="2:9" ht="12.75" customHeight="1" hidden="1">
      <c r="B404" s="191">
        <v>328</v>
      </c>
      <c r="C404" s="21">
        <f t="shared" si="35"/>
        <v>171.40462847355906</v>
      </c>
      <c r="D404" s="14">
        <f t="shared" si="37"/>
        <v>32</v>
      </c>
      <c r="E404" s="15">
        <f t="shared" si="38"/>
        <v>1417.9897917887156</v>
      </c>
      <c r="F404" s="11">
        <f t="shared" si="36"/>
        <v>-1246.5851633151565</v>
      </c>
      <c r="G404" s="12">
        <f t="shared" si="39"/>
        <v>1553974.5693974753</v>
      </c>
      <c r="H404" s="13">
        <f t="shared" si="40"/>
        <v>0.31452738066196606</v>
      </c>
      <c r="I404" s="12">
        <f t="shared" si="41"/>
        <v>0</v>
      </c>
    </row>
    <row r="405" spans="2:9" ht="12.75" customHeight="1" hidden="1">
      <c r="B405" s="191">
        <v>329</v>
      </c>
      <c r="C405" s="21">
        <f t="shared" si="35"/>
        <v>171.03866217015067</v>
      </c>
      <c r="D405" s="14">
        <f t="shared" si="37"/>
        <v>31</v>
      </c>
      <c r="E405" s="15">
        <f t="shared" si="38"/>
        <v>1463.7370096056125</v>
      </c>
      <c r="F405" s="11">
        <f t="shared" si="36"/>
        <v>-1292.6983474354618</v>
      </c>
      <c r="G405" s="12">
        <f t="shared" si="39"/>
        <v>1671069.0174623737</v>
      </c>
      <c r="H405" s="13">
        <f t="shared" si="40"/>
        <v>0.31452738066196606</v>
      </c>
      <c r="I405" s="12">
        <f t="shared" si="41"/>
        <v>0</v>
      </c>
    </row>
    <row r="406" spans="2:9" ht="12.75" customHeight="1" hidden="1">
      <c r="B406" s="191">
        <v>330</v>
      </c>
      <c r="C406" s="21">
        <f t="shared" si="35"/>
        <v>170.67499619053498</v>
      </c>
      <c r="D406" s="14">
        <f t="shared" si="37"/>
        <v>30</v>
      </c>
      <c r="E406" s="15">
        <f t="shared" si="38"/>
        <v>1512.5336924715143</v>
      </c>
      <c r="F406" s="11">
        <f t="shared" si="36"/>
        <v>-1341.8586962809793</v>
      </c>
      <c r="G406" s="12">
        <f t="shared" si="39"/>
        <v>1800584.7607848896</v>
      </c>
      <c r="H406" s="13">
        <f t="shared" si="40"/>
        <v>0.31452738066196606</v>
      </c>
      <c r="I406" s="12">
        <f t="shared" si="41"/>
        <v>0</v>
      </c>
    </row>
    <row r="407" spans="2:9" ht="12.75" customHeight="1" hidden="1">
      <c r="B407" s="191">
        <v>331</v>
      </c>
      <c r="C407" s="21">
        <f t="shared" si="35"/>
        <v>170.3136096635443</v>
      </c>
      <c r="D407" s="14">
        <f t="shared" si="37"/>
        <v>29</v>
      </c>
      <c r="E407" s="15">
        <f t="shared" si="38"/>
        <v>1564.695302281072</v>
      </c>
      <c r="F407" s="11">
        <f t="shared" si="36"/>
        <v>-1394.3816926175277</v>
      </c>
      <c r="G407" s="12">
        <f t="shared" si="39"/>
        <v>1944300.3047069216</v>
      </c>
      <c r="H407" s="13">
        <f t="shared" si="40"/>
        <v>0.31452738066196606</v>
      </c>
      <c r="I407" s="12">
        <f t="shared" si="41"/>
        <v>0</v>
      </c>
    </row>
    <row r="408" spans="2:9" ht="12.75" customHeight="1" hidden="1">
      <c r="B408" s="191">
        <v>332</v>
      </c>
      <c r="C408" s="21">
        <f t="shared" si="35"/>
        <v>169.9544819694106</v>
      </c>
      <c r="D408" s="14">
        <f t="shared" si="37"/>
        <v>28</v>
      </c>
      <c r="E408" s="15">
        <f t="shared" si="38"/>
        <v>1620.5823669142662</v>
      </c>
      <c r="F408" s="11">
        <f t="shared" si="36"/>
        <v>-1450.6278849448556</v>
      </c>
      <c r="G408" s="12">
        <f t="shared" si="39"/>
        <v>2104321.260579585</v>
      </c>
      <c r="H408" s="13">
        <f t="shared" si="40"/>
        <v>0.31452738066196606</v>
      </c>
      <c r="I408" s="12">
        <f t="shared" si="41"/>
        <v>0</v>
      </c>
    </row>
    <row r="409" spans="2:9" ht="12.75" customHeight="1" hidden="1">
      <c r="B409" s="191">
        <v>333</v>
      </c>
      <c r="C409" s="21">
        <f t="shared" si="35"/>
        <v>169.5975927359906</v>
      </c>
      <c r="D409" s="14">
        <f t="shared" si="37"/>
        <v>27</v>
      </c>
      <c r="E409" s="15">
        <f t="shared" si="38"/>
        <v>1680.6088257892102</v>
      </c>
      <c r="F409" s="11">
        <f t="shared" si="36"/>
        <v>-1511.0112330532197</v>
      </c>
      <c r="G409" s="12">
        <f t="shared" si="39"/>
        <v>2283154.9464130113</v>
      </c>
      <c r="H409" s="13">
        <f t="shared" si="40"/>
        <v>0.31452738066196606</v>
      </c>
      <c r="I409" s="12">
        <f t="shared" si="41"/>
        <v>0</v>
      </c>
    </row>
    <row r="410" spans="2:9" ht="12.75" customHeight="1" hidden="1">
      <c r="B410" s="191">
        <v>334</v>
      </c>
      <c r="C410" s="21">
        <f t="shared" si="35"/>
        <v>169.24292183505898</v>
      </c>
      <c r="D410" s="14">
        <f t="shared" si="37"/>
        <v>26</v>
      </c>
      <c r="E410" s="15">
        <f t="shared" si="38"/>
        <v>1745.2523013118223</v>
      </c>
      <c r="F410" s="11">
        <f t="shared" si="36"/>
        <v>-1576.0093794767633</v>
      </c>
      <c r="G410" s="12">
        <f t="shared" si="39"/>
        <v>2483805.564198733</v>
      </c>
      <c r="H410" s="13">
        <f t="shared" si="40"/>
        <v>0.31452738066196606</v>
      </c>
      <c r="I410" s="12">
        <f t="shared" si="41"/>
        <v>0</v>
      </c>
    </row>
    <row r="411" spans="2:9" ht="12.75" customHeight="1" hidden="1">
      <c r="B411" s="191">
        <v>335</v>
      </c>
      <c r="C411" s="21">
        <f t="shared" si="35"/>
        <v>168.89044937866805</v>
      </c>
      <c r="D411" s="14">
        <f t="shared" si="37"/>
        <v>25</v>
      </c>
      <c r="E411" s="15">
        <f t="shared" si="38"/>
        <v>1815.0668354733675</v>
      </c>
      <c r="F411" s="11">
        <f t="shared" si="36"/>
        <v>-1646.1763860946994</v>
      </c>
      <c r="G411" s="12">
        <f t="shared" si="39"/>
        <v>2709896.6941358047</v>
      </c>
      <c r="H411" s="13">
        <f t="shared" si="40"/>
        <v>0.31452738066196606</v>
      </c>
      <c r="I411" s="12">
        <f t="shared" si="41"/>
        <v>0</v>
      </c>
    </row>
    <row r="412" spans="2:9" ht="12.75" customHeight="1" hidden="1">
      <c r="B412" s="191">
        <v>336</v>
      </c>
      <c r="C412" s="21">
        <f t="shared" si="35"/>
        <v>168.5401557155719</v>
      </c>
      <c r="D412" s="14">
        <f t="shared" si="37"/>
        <v>24</v>
      </c>
      <c r="E412" s="15">
        <f t="shared" si="38"/>
        <v>1890.698810597403</v>
      </c>
      <c r="F412" s="11">
        <f t="shared" si="36"/>
        <v>-1722.1586548818311</v>
      </c>
      <c r="G412" s="12">
        <f t="shared" si="39"/>
        <v>2965830.432584398</v>
      </c>
      <c r="H412" s="13">
        <f t="shared" si="40"/>
        <v>0.31452738066196606</v>
      </c>
      <c r="I412" s="12">
        <f t="shared" si="41"/>
        <v>0</v>
      </c>
    </row>
    <row r="413" spans="2:9" ht="12.75" customHeight="1" hidden="1">
      <c r="B413" s="191">
        <v>337</v>
      </c>
      <c r="C413" s="21">
        <f t="shared" si="35"/>
        <v>168.19202142771474</v>
      </c>
      <c r="D413" s="14">
        <f t="shared" si="37"/>
        <v>23</v>
      </c>
      <c r="E413" s="15">
        <f t="shared" si="38"/>
        <v>1972.9070233251182</v>
      </c>
      <c r="F413" s="11">
        <f t="shared" si="36"/>
        <v>-1804.7150018974035</v>
      </c>
      <c r="G413" s="12">
        <f t="shared" si="39"/>
        <v>3256996.238073545</v>
      </c>
      <c r="H413" s="13">
        <f t="shared" si="40"/>
        <v>0.31452738066196606</v>
      </c>
      <c r="I413" s="12">
        <f t="shared" si="41"/>
        <v>0</v>
      </c>
    </row>
    <row r="414" spans="2:9" ht="12.75" customHeight="1" hidden="1">
      <c r="B414" s="191">
        <v>338</v>
      </c>
      <c r="C414" s="21">
        <f t="shared" si="35"/>
        <v>167.84602732678155</v>
      </c>
      <c r="D414" s="14">
        <f t="shared" si="37"/>
        <v>22</v>
      </c>
      <c r="E414" s="15">
        <f t="shared" si="38"/>
        <v>2062.5882333237664</v>
      </c>
      <c r="F414" s="11">
        <f t="shared" si="36"/>
        <v>-1894.742205996985</v>
      </c>
      <c r="G414" s="12">
        <f t="shared" si="39"/>
        <v>3590048.0271863206</v>
      </c>
      <c r="H414" s="13">
        <f t="shared" si="40"/>
        <v>0.31452738066196606</v>
      </c>
      <c r="I414" s="12">
        <f t="shared" si="41"/>
        <v>0</v>
      </c>
    </row>
    <row r="415" spans="2:9" ht="12.75" customHeight="1" hidden="1">
      <c r="B415" s="191">
        <v>339</v>
      </c>
      <c r="C415" s="21">
        <f t="shared" si="35"/>
        <v>167.50215445080948</v>
      </c>
      <c r="D415" s="14">
        <f t="shared" si="37"/>
        <v>21</v>
      </c>
      <c r="E415" s="15">
        <f t="shared" si="38"/>
        <v>2160.8100116263086</v>
      </c>
      <c r="F415" s="11">
        <f t="shared" si="36"/>
        <v>-1993.307857175499</v>
      </c>
      <c r="G415" s="12">
        <f t="shared" si="39"/>
        <v>3973276.21347758</v>
      </c>
      <c r="H415" s="13">
        <f t="shared" si="40"/>
        <v>0.31452738066196606</v>
      </c>
      <c r="I415" s="12">
        <f t="shared" si="41"/>
        <v>0</v>
      </c>
    </row>
    <row r="416" spans="2:9" ht="12.75" customHeight="1" hidden="1">
      <c r="B416" s="191">
        <v>340</v>
      </c>
      <c r="C416" s="21">
        <f t="shared" si="35"/>
        <v>167.16038406085914</v>
      </c>
      <c r="D416" s="14">
        <f t="shared" si="37"/>
        <v>20</v>
      </c>
      <c r="E416" s="15">
        <f t="shared" si="38"/>
        <v>2268.853443472831</v>
      </c>
      <c r="F416" s="11">
        <f t="shared" si="36"/>
        <v>-2101.6930594119717</v>
      </c>
      <c r="G416" s="12">
        <f t="shared" si="39"/>
        <v>4417113.715980453</v>
      </c>
      <c r="H416" s="13">
        <f t="shared" si="40"/>
        <v>0.31452738066196606</v>
      </c>
      <c r="I416" s="12">
        <f t="shared" si="41"/>
        <v>0</v>
      </c>
    </row>
    <row r="417" spans="2:9" ht="12.75" customHeight="1" hidden="1">
      <c r="B417" s="191">
        <v>341</v>
      </c>
      <c r="C417" s="21">
        <f t="shared" si="35"/>
        <v>166.8206976377447</v>
      </c>
      <c r="D417" s="14">
        <f t="shared" si="37"/>
        <v>19</v>
      </c>
      <c r="E417" s="15">
        <f t="shared" si="38"/>
        <v>2388.2693162597066</v>
      </c>
      <c r="F417" s="11">
        <f t="shared" si="36"/>
        <v>-2221.448618621962</v>
      </c>
      <c r="G417" s="12">
        <f t="shared" si="39"/>
        <v>4934833.965177423</v>
      </c>
      <c r="H417" s="13">
        <f t="shared" si="40"/>
        <v>0.31452738066196606</v>
      </c>
      <c r="I417" s="12">
        <f t="shared" si="41"/>
        <v>0</v>
      </c>
    </row>
    <row r="418" spans="2:9" ht="12.75" customHeight="1" hidden="1">
      <c r="B418" s="191">
        <v>342</v>
      </c>
      <c r="C418" s="21">
        <f t="shared" si="35"/>
        <v>166.48307687882092</v>
      </c>
      <c r="D418" s="14">
        <f t="shared" si="37"/>
        <v>18</v>
      </c>
      <c r="E418" s="15">
        <f t="shared" si="38"/>
        <v>2520.9530368053615</v>
      </c>
      <c r="F418" s="11">
        <f t="shared" si="36"/>
        <v>-2354.4699599265405</v>
      </c>
      <c r="G418" s="12">
        <f t="shared" si="39"/>
        <v>5543528.792196485</v>
      </c>
      <c r="H418" s="13">
        <f t="shared" si="40"/>
        <v>0.31452738066196606</v>
      </c>
      <c r="I418" s="12">
        <f t="shared" si="41"/>
        <v>0</v>
      </c>
    </row>
    <row r="419" spans="2:9" ht="12.75" customHeight="1" hidden="1">
      <c r="B419" s="191">
        <v>343</v>
      </c>
      <c r="C419" s="21">
        <f t="shared" si="35"/>
        <v>166.147503694827</v>
      </c>
      <c r="D419" s="14">
        <f t="shared" si="37"/>
        <v>17</v>
      </c>
      <c r="E419" s="15">
        <f t="shared" si="38"/>
        <v>2669.2459900036697</v>
      </c>
      <c r="F419" s="11">
        <f t="shared" si="36"/>
        <v>-2503.098486308843</v>
      </c>
      <c r="G419" s="12">
        <f t="shared" si="39"/>
        <v>6265502.03216162</v>
      </c>
      <c r="H419" s="13">
        <f t="shared" si="40"/>
        <v>0.31452738066196606</v>
      </c>
      <c r="I419" s="12">
        <f t="shared" si="41"/>
        <v>0</v>
      </c>
    </row>
    <row r="420" spans="2:9" ht="12.75" customHeight="1" hidden="1">
      <c r="B420" s="191">
        <v>344</v>
      </c>
      <c r="C420" s="21">
        <f t="shared" si="35"/>
        <v>165.81396020678488</v>
      </c>
      <c r="D420" s="14">
        <f t="shared" si="37"/>
        <v>16</v>
      </c>
      <c r="E420" s="15">
        <f t="shared" si="38"/>
        <v>2836.0749069726517</v>
      </c>
      <c r="F420" s="11">
        <f t="shared" si="36"/>
        <v>-2670.2609467658667</v>
      </c>
      <c r="G420" s="12">
        <f t="shared" si="39"/>
        <v>7130293.523822943</v>
      </c>
      <c r="H420" s="13">
        <f t="shared" si="40"/>
        <v>0.31452738066196606</v>
      </c>
      <c r="I420" s="12">
        <f t="shared" si="41"/>
        <v>0</v>
      </c>
    </row>
    <row r="421" spans="2:9" ht="12.75" customHeight="1" hidden="1">
      <c r="B421" s="191">
        <v>345</v>
      </c>
      <c r="C421" s="21">
        <f t="shared" si="35"/>
        <v>165.48242874295173</v>
      </c>
      <c r="D421" s="14">
        <f t="shared" si="37"/>
        <v>15</v>
      </c>
      <c r="E421" s="15">
        <f t="shared" si="38"/>
        <v>3025.146980462507</v>
      </c>
      <c r="F421" s="11">
        <f t="shared" si="36"/>
        <v>-2859.664551719555</v>
      </c>
      <c r="G421" s="12">
        <f t="shared" si="39"/>
        <v>8177681.348361405</v>
      </c>
      <c r="H421" s="13">
        <f t="shared" si="40"/>
        <v>0.31452738066196606</v>
      </c>
      <c r="I421" s="12">
        <f t="shared" si="41"/>
        <v>0</v>
      </c>
    </row>
    <row r="422" spans="2:9" ht="12.75" customHeight="1" hidden="1">
      <c r="B422" s="191">
        <v>346</v>
      </c>
      <c r="C422" s="21">
        <f t="shared" si="35"/>
        <v>165.15289183582536</v>
      </c>
      <c r="D422" s="14">
        <f t="shared" si="37"/>
        <v>14</v>
      </c>
      <c r="E422" s="15">
        <f t="shared" si="38"/>
        <v>3241.2286011527026</v>
      </c>
      <c r="F422" s="11">
        <f t="shared" si="36"/>
        <v>-3076.0757093168772</v>
      </c>
      <c r="G422" s="12">
        <f t="shared" si="39"/>
        <v>9462241.769449329</v>
      </c>
      <c r="H422" s="13">
        <f t="shared" si="40"/>
        <v>0.31452738066196606</v>
      </c>
      <c r="I422" s="12">
        <f t="shared" si="41"/>
        <v>0</v>
      </c>
    </row>
    <row r="423" spans="2:9" ht="12.75" customHeight="1" hidden="1">
      <c r="B423" s="191">
        <v>347</v>
      </c>
      <c r="C423" s="21">
        <f t="shared" si="35"/>
        <v>164.82533221920133</v>
      </c>
      <c r="D423" s="14">
        <f t="shared" si="37"/>
        <v>13</v>
      </c>
      <c r="E423" s="15">
        <f t="shared" si="38"/>
        <v>3490.552741471118</v>
      </c>
      <c r="F423" s="11">
        <f t="shared" si="36"/>
        <v>-3325.727409251917</v>
      </c>
      <c r="G423" s="12">
        <f t="shared" si="39"/>
        <v>11060462.800649468</v>
      </c>
      <c r="H423" s="13">
        <f t="shared" si="40"/>
        <v>0.31452738066196606</v>
      </c>
      <c r="I423" s="12">
        <f t="shared" si="41"/>
        <v>0</v>
      </c>
    </row>
    <row r="424" spans="2:9" ht="12.75" customHeight="1" hidden="1">
      <c r="B424" s="191">
        <v>348</v>
      </c>
      <c r="C424" s="21">
        <f t="shared" si="35"/>
        <v>164.4997328252808</v>
      </c>
      <c r="D424" s="14">
        <f t="shared" si="37"/>
        <v>12</v>
      </c>
      <c r="E424" s="15">
        <f t="shared" si="38"/>
        <v>3781.430031322353</v>
      </c>
      <c r="F424" s="11">
        <f t="shared" si="36"/>
        <v>-3616.9302984970723</v>
      </c>
      <c r="G424" s="12">
        <f t="shared" si="39"/>
        <v>13082184.784186121</v>
      </c>
      <c r="H424" s="13">
        <f t="shared" si="40"/>
        <v>0.31452738066196606</v>
      </c>
      <c r="I424" s="12">
        <f t="shared" si="41"/>
        <v>0</v>
      </c>
    </row>
    <row r="425" spans="2:9" ht="12.75" customHeight="1" hidden="1">
      <c r="B425" s="191">
        <v>349</v>
      </c>
      <c r="C425" s="21">
        <f t="shared" si="35"/>
        <v>164.17607678182804</v>
      </c>
      <c r="D425" s="14">
        <f t="shared" si="37"/>
        <v>11</v>
      </c>
      <c r="E425" s="15">
        <f t="shared" si="38"/>
        <v>4125.193147850024</v>
      </c>
      <c r="F425" s="11">
        <f t="shared" si="36"/>
        <v>-3961.0170710681955</v>
      </c>
      <c r="G425" s="12">
        <f t="shared" si="39"/>
        <v>15689656.237293666</v>
      </c>
      <c r="H425" s="13">
        <f t="shared" si="40"/>
        <v>0.31452738066196606</v>
      </c>
      <c r="I425" s="12">
        <f t="shared" si="41"/>
        <v>0</v>
      </c>
    </row>
    <row r="426" spans="2:9" ht="12.75" customHeight="1" hidden="1">
      <c r="B426" s="191">
        <v>350</v>
      </c>
      <c r="C426" s="21">
        <f t="shared" si="35"/>
        <v>163.8543474093768</v>
      </c>
      <c r="D426" s="14">
        <f t="shared" si="37"/>
        <v>10</v>
      </c>
      <c r="E426" s="15">
        <f t="shared" si="38"/>
        <v>4537.707839056189</v>
      </c>
      <c r="F426" s="11">
        <f t="shared" si="36"/>
        <v>-4373.8534916468125</v>
      </c>
      <c r="G426" s="12">
        <f t="shared" si="39"/>
        <v>19130594.366391014</v>
      </c>
      <c r="H426" s="13">
        <f t="shared" si="40"/>
        <v>0.31452738066196606</v>
      </c>
      <c r="I426" s="12">
        <f t="shared" si="41"/>
        <v>0</v>
      </c>
    </row>
    <row r="427" spans="2:9" ht="12.75" customHeight="1" hidden="1">
      <c r="B427" s="191">
        <v>351</v>
      </c>
      <c r="C427" s="21">
        <f t="shared" si="35"/>
        <v>163.53452821848435</v>
      </c>
      <c r="D427" s="14">
        <f t="shared" si="37"/>
        <v>9</v>
      </c>
      <c r="E427" s="15">
        <f t="shared" si="38"/>
        <v>5041.891296500556</v>
      </c>
      <c r="F427" s="11">
        <f t="shared" si="36"/>
        <v>-4878.356768282071</v>
      </c>
      <c r="G427" s="12">
        <f t="shared" si="39"/>
        <v>23798364.758643493</v>
      </c>
      <c r="H427" s="13">
        <f t="shared" si="40"/>
        <v>0.31452738066196606</v>
      </c>
      <c r="I427" s="12">
        <f t="shared" si="41"/>
        <v>0</v>
      </c>
    </row>
    <row r="428" spans="2:9" ht="12.75" customHeight="1" hidden="1">
      <c r="B428" s="191">
        <v>352</v>
      </c>
      <c r="C428" s="21">
        <f t="shared" si="35"/>
        <v>163.21660290703244</v>
      </c>
      <c r="D428" s="14">
        <f t="shared" si="37"/>
        <v>8</v>
      </c>
      <c r="E428" s="15">
        <f t="shared" si="38"/>
        <v>5672.1193075238025</v>
      </c>
      <c r="F428" s="11">
        <f t="shared" si="36"/>
        <v>-5508.90270461677</v>
      </c>
      <c r="G428" s="12">
        <f t="shared" si="39"/>
        <v>30348009.008933965</v>
      </c>
      <c r="H428" s="13">
        <f t="shared" si="40"/>
        <v>0.31452738066196606</v>
      </c>
      <c r="I428" s="12">
        <f t="shared" si="41"/>
        <v>0</v>
      </c>
    </row>
    <row r="429" spans="2:9" ht="12.75" customHeight="1" hidden="1">
      <c r="B429" s="191">
        <v>353</v>
      </c>
      <c r="C429" s="21">
        <f t="shared" si="35"/>
        <v>162.90055535757364</v>
      </c>
      <c r="D429" s="14">
        <f t="shared" si="37"/>
        <v>7</v>
      </c>
      <c r="E429" s="15">
        <f t="shared" si="38"/>
        <v>6482.410966520225</v>
      </c>
      <c r="F429" s="11">
        <f t="shared" si="36"/>
        <v>-6319.5104111626515</v>
      </c>
      <c r="G429" s="12">
        <f t="shared" si="39"/>
        <v>39936211.83679315</v>
      </c>
      <c r="H429" s="13">
        <f t="shared" si="40"/>
        <v>0.31452738066196606</v>
      </c>
      <c r="I429" s="12">
        <f t="shared" si="41"/>
        <v>0</v>
      </c>
    </row>
    <row r="430" spans="2:9" ht="12.75" customHeight="1" hidden="1">
      <c r="B430" s="191">
        <v>354</v>
      </c>
      <c r="C430" s="21">
        <f t="shared" si="35"/>
        <v>162.58636963472372</v>
      </c>
      <c r="D430" s="14">
        <f t="shared" si="37"/>
        <v>6</v>
      </c>
      <c r="E430" s="15">
        <f t="shared" si="38"/>
        <v>7562.79809748151</v>
      </c>
      <c r="F430" s="11">
        <f t="shared" si="36"/>
        <v>-7400.211727846787</v>
      </c>
      <c r="G430" s="12">
        <f t="shared" si="39"/>
        <v>54763133.61696112</v>
      </c>
      <c r="H430" s="13">
        <f t="shared" si="40"/>
        <v>0.31452738066196606</v>
      </c>
      <c r="I430" s="12">
        <f t="shared" si="41"/>
        <v>0</v>
      </c>
    </row>
    <row r="431" spans="2:9" ht="12.75" customHeight="1" hidden="1">
      <c r="B431" s="191">
        <v>355</v>
      </c>
      <c r="C431" s="21">
        <f t="shared" si="35"/>
        <v>162.2740299825969</v>
      </c>
      <c r="D431" s="14">
        <f t="shared" si="37"/>
        <v>5</v>
      </c>
      <c r="E431" s="15">
        <f t="shared" si="38"/>
        <v>9075.337983595104</v>
      </c>
      <c r="F431" s="11">
        <f t="shared" si="36"/>
        <v>-8913.063953612507</v>
      </c>
      <c r="G431" s="12">
        <f t="shared" si="39"/>
        <v>79442709.04118662</v>
      </c>
      <c r="H431" s="13">
        <f t="shared" si="40"/>
        <v>0.31452738066196606</v>
      </c>
      <c r="I431" s="12">
        <f t="shared" si="41"/>
        <v>0</v>
      </c>
    </row>
    <row r="432" spans="2:9" ht="12.75" customHeight="1" hidden="1">
      <c r="B432" s="191">
        <v>356</v>
      </c>
      <c r="C432" s="21">
        <f t="shared" si="35"/>
        <v>161.96352082228503</v>
      </c>
      <c r="D432" s="14">
        <f t="shared" si="37"/>
        <v>4</v>
      </c>
      <c r="E432" s="15">
        <f t="shared" si="38"/>
        <v>11344.145191238274</v>
      </c>
      <c r="F432" s="11">
        <f t="shared" si="36"/>
        <v>-11182.18167041599</v>
      </c>
      <c r="G432" s="12">
        <f t="shared" si="39"/>
        <v>125041186.91018735</v>
      </c>
      <c r="H432" s="13">
        <f t="shared" si="40"/>
        <v>0.31452738066196606</v>
      </c>
      <c r="I432" s="12">
        <f t="shared" si="41"/>
        <v>0</v>
      </c>
    </row>
    <row r="433" spans="2:9" ht="12.75" customHeight="1" hidden="1">
      <c r="B433" s="191">
        <v>357</v>
      </c>
      <c r="C433" s="21">
        <f t="shared" si="35"/>
        <v>161.65482674937905</v>
      </c>
      <c r="D433" s="14">
        <f t="shared" si="37"/>
        <v>3</v>
      </c>
      <c r="E433" s="15">
        <f t="shared" si="38"/>
        <v>15125.487041961924</v>
      </c>
      <c r="F433" s="11">
        <f t="shared" si="36"/>
        <v>-14963.832215212544</v>
      </c>
      <c r="G433" s="12">
        <f t="shared" si="39"/>
        <v>223916274.56503275</v>
      </c>
      <c r="H433" s="13">
        <f t="shared" si="40"/>
        <v>0.31452738066196606</v>
      </c>
      <c r="I433" s="12">
        <f t="shared" si="41"/>
        <v>0</v>
      </c>
    </row>
    <row r="434" spans="2:9" ht="12.75" customHeight="1" hidden="1">
      <c r="B434" s="191">
        <v>358</v>
      </c>
      <c r="C434" s="21">
        <f t="shared" si="35"/>
        <v>161.3479325315319</v>
      </c>
      <c r="D434" s="14">
        <f t="shared" si="37"/>
        <v>2</v>
      </c>
      <c r="E434" s="15">
        <f t="shared" si="38"/>
        <v>22688.16550042215</v>
      </c>
      <c r="F434" s="11">
        <f t="shared" si="36"/>
        <v>-22526.81756789062</v>
      </c>
      <c r="G434" s="12">
        <f t="shared" si="39"/>
        <v>507457509.73702544</v>
      </c>
      <c r="H434" s="13">
        <f t="shared" si="40"/>
        <v>0.31452738066196606</v>
      </c>
      <c r="I434" s="12">
        <f t="shared" si="41"/>
        <v>0</v>
      </c>
    </row>
    <row r="435" spans="2:9" ht="12.75" customHeight="1" hidden="1">
      <c r="B435" s="191">
        <v>359</v>
      </c>
      <c r="C435" s="21">
        <f t="shared" si="35"/>
        <v>161.04282310606206</v>
      </c>
      <c r="D435" s="14">
        <f t="shared" si="37"/>
        <v>1</v>
      </c>
      <c r="E435" s="15">
        <f t="shared" si="38"/>
        <v>45376.190389913165</v>
      </c>
      <c r="F435" s="11">
        <f t="shared" si="36"/>
        <v>-45215.1475668071</v>
      </c>
      <c r="G435" s="12">
        <f t="shared" si="39"/>
        <v>2044409569.488142</v>
      </c>
      <c r="H435" s="13">
        <f t="shared" si="40"/>
        <v>0.31452738066196606</v>
      </c>
      <c r="I435" s="12">
        <f t="shared" si="41"/>
        <v>0</v>
      </c>
    </row>
    <row r="436" spans="2:9" ht="12.75" customHeight="1" hidden="1">
      <c r="B436" s="191">
        <v>360</v>
      </c>
      <c r="C436" s="21">
        <f t="shared" si="35"/>
        <v>160.73948357759724</v>
      </c>
      <c r="D436" s="14">
        <f t="shared" si="37"/>
        <v>1</v>
      </c>
      <c r="E436" s="15">
        <f t="shared" si="38"/>
        <v>45413.831669325446</v>
      </c>
      <c r="F436" s="11">
        <f t="shared" si="36"/>
        <v>-45253.092185747846</v>
      </c>
      <c r="G436" s="12">
        <f t="shared" si="39"/>
        <v>2047842352.3717928</v>
      </c>
      <c r="H436" s="13">
        <f t="shared" si="40"/>
        <v>0.31452738066196606</v>
      </c>
      <c r="I436" s="12">
        <f t="shared" si="41"/>
        <v>0</v>
      </c>
    </row>
    <row r="437" spans="2:9" ht="12.75" customHeight="1" hidden="1">
      <c r="B437" s="191">
        <v>361</v>
      </c>
      <c r="C437" s="21">
        <f t="shared" si="35"/>
        <v>160.43789921575703</v>
      </c>
      <c r="D437" s="14">
        <f t="shared" si="37"/>
        <v>-1</v>
      </c>
      <c r="E437" s="15">
        <f t="shared" si="38"/>
        <v>-45375.87771076346</v>
      </c>
      <c r="F437" s="11">
        <f t="shared" si="36"/>
        <v>45536.31560997922</v>
      </c>
      <c r="G437" s="12">
        <f t="shared" si="39"/>
        <v>2073556039.331637</v>
      </c>
      <c r="H437" s="13">
        <f t="shared" si="40"/>
        <v>0.31452738066196606</v>
      </c>
      <c r="I437" s="12">
        <f t="shared" si="41"/>
        <v>0</v>
      </c>
    </row>
    <row r="438" spans="2:9" ht="12.75" customHeight="1" hidden="1">
      <c r="B438" s="191">
        <v>362</v>
      </c>
      <c r="C438" s="21">
        <f t="shared" si="35"/>
        <v>160.13805545287428</v>
      </c>
      <c r="D438" s="14">
        <f t="shared" si="37"/>
        <v>-2</v>
      </c>
      <c r="E438" s="15">
        <f t="shared" si="38"/>
        <v>-22687.852821379383</v>
      </c>
      <c r="F438" s="11">
        <f t="shared" si="36"/>
        <v>22847.990876832257</v>
      </c>
      <c r="G438" s="12">
        <f t="shared" si="39"/>
        <v>522030687.10781</v>
      </c>
      <c r="H438" s="13">
        <f t="shared" si="40"/>
        <v>0.31452738066196606</v>
      </c>
      <c r="I438" s="12">
        <f t="shared" si="41"/>
        <v>0</v>
      </c>
    </row>
    <row r="439" spans="2:5" ht="12.75" customHeight="1" hidden="1">
      <c r="B439" s="191"/>
      <c r="C439" s="191"/>
      <c r="D439" s="191"/>
      <c r="E439" s="191"/>
    </row>
    <row r="440" spans="2:5" ht="78.75" customHeight="1">
      <c r="B440" s="250" t="s">
        <v>64</v>
      </c>
      <c r="C440" s="251"/>
      <c r="D440" s="252"/>
      <c r="E440" s="191"/>
    </row>
    <row r="441" spans="2:5" ht="12.75">
      <c r="B441" s="191"/>
      <c r="C441" s="191"/>
      <c r="D441" s="191"/>
      <c r="E441" s="191"/>
    </row>
  </sheetData>
  <sheetProtection selectLockedCells="1"/>
  <mergeCells count="45">
    <mergeCell ref="B440:D440"/>
    <mergeCell ref="D21:E21"/>
    <mergeCell ref="D25:E25"/>
    <mergeCell ref="B7:G7"/>
    <mergeCell ref="B8:C8"/>
    <mergeCell ref="F8:G8"/>
    <mergeCell ref="B10:C10"/>
    <mergeCell ref="B13:C13"/>
    <mergeCell ref="D22:E22"/>
    <mergeCell ref="B9:C9"/>
    <mergeCell ref="F9:G9"/>
    <mergeCell ref="B11:C11"/>
    <mergeCell ref="F11:G12"/>
    <mergeCell ref="B12:C12"/>
    <mergeCell ref="D39:E39"/>
    <mergeCell ref="D23:E23"/>
    <mergeCell ref="D24:E24"/>
    <mergeCell ref="B14:G14"/>
    <mergeCell ref="B16:G16"/>
    <mergeCell ref="D32:E32"/>
    <mergeCell ref="B33:G33"/>
    <mergeCell ref="D34:E34"/>
    <mergeCell ref="D37:E37"/>
    <mergeCell ref="D26:E26"/>
    <mergeCell ref="D28:E28"/>
    <mergeCell ref="D31:E31"/>
    <mergeCell ref="D50:E50"/>
    <mergeCell ref="D61:E61"/>
    <mergeCell ref="D54:E54"/>
    <mergeCell ref="B53:D53"/>
    <mergeCell ref="D58:E58"/>
    <mergeCell ref="D40:E40"/>
    <mergeCell ref="D41:E41"/>
    <mergeCell ref="D49:E49"/>
    <mergeCell ref="B52:G52"/>
    <mergeCell ref="K7:L7"/>
    <mergeCell ref="H7:I7"/>
    <mergeCell ref="D46:E47"/>
    <mergeCell ref="F46:G47"/>
    <mergeCell ref="C72:E72"/>
    <mergeCell ref="C73:E73"/>
    <mergeCell ref="C67:D67"/>
    <mergeCell ref="D62:E62"/>
    <mergeCell ref="D63:E63"/>
    <mergeCell ref="G58:J61"/>
  </mergeCells>
  <dataValidations count="2">
    <dataValidation type="list" allowBlank="1" showInputMessage="1" showErrorMessage="1" sqref="C18">
      <formula1>$B$69:$B$70</formula1>
    </dataValidation>
    <dataValidation type="list" allowBlank="1" showInputMessage="1" showErrorMessage="1" sqref="C19:C20">
      <formula1>$F$69:$F$70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colBreaks count="1" manualBreakCount="1">
    <brk id="9" max="4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Korisnik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Marina</cp:lastModifiedBy>
  <cp:lastPrinted>2019-07-18T07:13:19Z</cp:lastPrinted>
  <dcterms:created xsi:type="dcterms:W3CDTF">2005-11-14T08:41:49Z</dcterms:created>
  <dcterms:modified xsi:type="dcterms:W3CDTF">2020-12-09T08:47:21Z</dcterms:modified>
  <cp:category/>
  <cp:version/>
  <cp:contentType/>
  <cp:contentStatus/>
</cp:coreProperties>
</file>